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9_0.bin" ContentType="application/vnd.openxmlformats-officedocument.oleObject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verview" sheetId="1" r:id="rId1"/>
    <sheet name="Confidence Intervals (2)" sheetId="2" r:id="rId2"/>
    <sheet name="Confidence Intervals" sheetId="3" r:id="rId3"/>
    <sheet name="CI example 1" sheetId="4" r:id="rId4"/>
    <sheet name="CI transform ex" sheetId="5" r:id="rId5"/>
    <sheet name="Intro" sheetId="6" r:id="rId6"/>
    <sheet name="Data 1" sheetId="7" r:id="rId7"/>
    <sheet name="y =1st order fcn. " sheetId="8" r:id="rId8"/>
    <sheet name="y = f(ln(odds))" sheetId="9" r:id="rId9"/>
    <sheet name="JMP" sheetId="10" r:id="rId10"/>
    <sheet name="Sheet1" sheetId="11" r:id="rId11"/>
  </sheets>
  <externalReferences>
    <externalReference r:id="rId14"/>
  </externalReferences>
  <definedNames>
    <definedName name="_xlfn.COVARIANCE.P" hidden="1">#NAME?</definedName>
    <definedName name="_xlfn.COVARIANCE.S" hidden="1">#NAME?</definedName>
    <definedName name="avg">'Confidence Intervals (2)'!$C$24</definedName>
    <definedName name="Int">'Confidence Intervals (2)'!$C$20</definedName>
    <definedName name="MSE">'Confidence Intervals (2)'!$C$22</definedName>
    <definedName name="n">'Confidence Intervals (2)'!$C$25</definedName>
    <definedName name="Slope">'Confidence Intervals (2)'!$C$21</definedName>
    <definedName name="solver_adj" localSheetId="7" hidden="1">'y =1st order fcn. '!$A$3:$B$3</definedName>
    <definedName name="solver_cvg" localSheetId="7" hidden="1">0.001</definedName>
    <definedName name="solver_drv" localSheetId="7" hidden="1">1</definedName>
    <definedName name="solver_eng" localSheetId="7" hidden="1">1</definedName>
    <definedName name="solver_est" localSheetId="7" hidden="1">1</definedName>
    <definedName name="solver_itr" localSheetId="7" hidden="1">100</definedName>
    <definedName name="solver_lhs1" localSheetId="7" hidden="1">'y =1st order fcn. '!$B$10:$B$16</definedName>
    <definedName name="solver_lin" localSheetId="7" hidden="1">2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2</definedName>
    <definedName name="solver_nod" localSheetId="7" hidden="1">2147483647</definedName>
    <definedName name="solver_num" localSheetId="7" hidden="1">1</definedName>
    <definedName name="solver_nwt" localSheetId="7" hidden="1">1</definedName>
    <definedName name="solver_opt" localSheetId="7" hidden="1">'y =1st order fcn. '!$G$1</definedName>
    <definedName name="solver_pre" localSheetId="7" hidden="1">0.000001</definedName>
    <definedName name="solver_rbv" localSheetId="7" hidden="1">1</definedName>
    <definedName name="solver_rel1" localSheetId="7" hidden="1">1</definedName>
    <definedName name="solver_rhs1" localSheetId="7" hidden="1">1</definedName>
    <definedName name="solver_rlx" localSheetId="7" hidden="1">1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100</definedName>
    <definedName name="solver_tmp" localSheetId="7" hidden="1">1</definedName>
    <definedName name="solver_tol" localSheetId="7" hidden="1">0.05</definedName>
    <definedName name="solver_typ" localSheetId="7" hidden="1">2</definedName>
    <definedName name="solver_val" localSheetId="7" hidden="1">0</definedName>
    <definedName name="solver_ver" localSheetId="7" hidden="1">3</definedName>
    <definedName name="ssx">'Confidence Intervals (2)'!$C$23</definedName>
    <definedName name="t">'Confidence Intervals (2)'!$C$26</definedName>
  </definedNames>
  <calcPr fullCalcOnLoad="1"/>
</workbook>
</file>

<file path=xl/sharedStrings.xml><?xml version="1.0" encoding="utf-8"?>
<sst xmlns="http://schemas.openxmlformats.org/spreadsheetml/2006/main" count="245" uniqueCount="116">
  <si>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</si>
  <si>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</si>
  <si>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</si>
  <si>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</si>
  <si>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</si>
  <si>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</si>
  <si>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</si>
  <si>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</si>
  <si>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</si>
  <si>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</si>
  <si>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</si>
  <si>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</si>
  <si>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</si>
  <si>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</si>
  <si>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</si>
  <si>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</si>
  <si>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</si>
  <si>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</si>
  <si>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</si>
  <si>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</si>
  <si>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</si>
  <si>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</si>
  <si>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</si>
  <si>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Intercept</t>
  </si>
  <si>
    <r>
      <t xml:space="preserve">                 Standard Error for Mean of Y when X=x</t>
    </r>
    <r>
      <rPr>
        <b/>
        <vertAlign val="subscript"/>
        <sz val="10"/>
        <color indexed="17"/>
        <rFont val="Calibri"/>
        <family val="2"/>
      </rPr>
      <t>0</t>
    </r>
  </si>
  <si>
    <r>
      <t>SE(</t>
    </r>
    <r>
      <rPr>
        <b/>
        <sz val="10"/>
        <color indexed="12"/>
        <rFont val="Times New Roman"/>
        <family val="1"/>
      </rPr>
      <t>ŷ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>) = Standard Error for Individual Y when X=x</t>
    </r>
    <r>
      <rPr>
        <b/>
        <vertAlign val="subscript"/>
        <sz val="10"/>
        <color indexed="12"/>
        <rFont val="Calibri"/>
        <family val="2"/>
      </rPr>
      <t>0</t>
    </r>
  </si>
  <si>
    <r>
      <t>SE(ŷ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 =</t>
    </r>
  </si>
  <si>
    <t xml:space="preserve">Also </t>
  </si>
  <si>
    <r>
      <t>Standard Error for Mean of Y when X=x</t>
    </r>
    <r>
      <rPr>
        <b/>
        <vertAlign val="subscript"/>
        <sz val="10"/>
        <color indexed="17"/>
        <rFont val="Calibri"/>
        <family val="2"/>
      </rPr>
      <t>ν</t>
    </r>
  </si>
  <si>
    <r>
      <t>Standard Error for Individual Y when X=x</t>
    </r>
    <r>
      <rPr>
        <b/>
        <vertAlign val="subscript"/>
        <sz val="10"/>
        <color indexed="12"/>
        <rFont val="Calibri"/>
        <family val="2"/>
      </rPr>
      <t>ν</t>
    </r>
  </si>
  <si>
    <t>X</t>
  </si>
  <si>
    <t>Y</t>
  </si>
  <si>
    <t>Find a 90% confidence interval for the mean of Y when x=3</t>
  </si>
  <si>
    <t>Find a 90% confidence interval for a new individual predicted value of Y when x=3</t>
  </si>
  <si>
    <t>X-3</t>
  </si>
  <si>
    <t>If x =3 find the anticipated or predicted value for Y, Y^(x=3)</t>
  </si>
  <si>
    <t xml:space="preserve">= Y^ for x =3 </t>
  </si>
  <si>
    <t xml:space="preserve">Mean </t>
  </si>
  <si>
    <t>= SE(mean of Y when x=3)</t>
  </si>
  <si>
    <t>= Table Value or CV for 90% CI, df = 6</t>
  </si>
  <si>
    <t>= ME or Margin of Error</t>
  </si>
  <si>
    <t xml:space="preserve">= 90% Upper Limit </t>
  </si>
  <si>
    <t xml:space="preserve">= 90% Lower Limit </t>
  </si>
  <si>
    <t>= SE(individual value of Y when x=3)</t>
  </si>
  <si>
    <t>Calculated with formula on page 450</t>
  </si>
  <si>
    <t>Calculated with formula on page 452</t>
  </si>
  <si>
    <t>Y^ for x =3 is the intercept using x-3</t>
  </si>
  <si>
    <t>90% confidence interval for the mean of Y when x=3</t>
  </si>
  <si>
    <t>Values from the previous tab using formulas</t>
  </si>
  <si>
    <t>= Variance (mean of Y when x=3)</t>
  </si>
  <si>
    <t>= Variance (individual Y when x=3) = Variance (mean of Y when x=3)+ MSE</t>
  </si>
  <si>
    <t>90% limits from the previous tab using formulas</t>
  </si>
  <si>
    <t>Confidence Interval for Predicted Mean of Y</t>
  </si>
  <si>
    <t>Confidence Interval for Predicted Individual value of Y</t>
  </si>
  <si>
    <r>
      <t xml:space="preserve">(Section 16.6; </t>
    </r>
    <r>
      <rPr>
        <sz val="10"/>
        <color indexed="12"/>
        <rFont val="Times New Roman"/>
        <family val="1"/>
      </rPr>
      <t>page 507,  2nd edition or pg. 452, 1st edition</t>
    </r>
    <r>
      <rPr>
        <b/>
        <sz val="10"/>
        <color indexed="12"/>
        <rFont val="Times New Roman"/>
        <family val="1"/>
      </rPr>
      <t>)</t>
    </r>
  </si>
  <si>
    <r>
      <t xml:space="preserve">(Section 16.6; </t>
    </r>
    <r>
      <rPr>
        <sz val="10"/>
        <color indexed="17"/>
        <rFont val="Times New Roman"/>
        <family val="1"/>
      </rPr>
      <t>page 506,  2nd edition or pg. 450, 1st edition</t>
    </r>
    <r>
      <rPr>
        <b/>
        <sz val="10"/>
        <color indexed="17"/>
        <rFont val="Times New Roman"/>
        <family val="1"/>
      </rPr>
      <t>)</t>
    </r>
  </si>
  <si>
    <t xml:space="preserve">Hit F9 to change graph </t>
  </si>
  <si>
    <t>You may change the values in blue.</t>
  </si>
  <si>
    <t>R-square</t>
  </si>
  <si>
    <t xml:space="preserve">Phenomenon Slope =  </t>
  </si>
  <si>
    <t xml:space="preserve">Intercept = </t>
  </si>
  <si>
    <t xml:space="preserve">Variance = </t>
  </si>
  <si>
    <t xml:space="preserve">Increment = </t>
  </si>
  <si>
    <t>Graph</t>
  </si>
  <si>
    <t>Data</t>
  </si>
  <si>
    <t>y-hat</t>
  </si>
  <si>
    <t>L.L. Mean</t>
  </si>
  <si>
    <t>U.L. Mean</t>
  </si>
  <si>
    <t>L.L.Predict</t>
  </si>
  <si>
    <t>U.L.Predict</t>
  </si>
  <si>
    <t>Phenomenon</t>
  </si>
  <si>
    <t>= SS(Error)</t>
  </si>
  <si>
    <t xml:space="preserve">Slope = </t>
  </si>
  <si>
    <t xml:space="preserve">MSE = </t>
  </si>
  <si>
    <t xml:space="preserve">SS(X) = </t>
  </si>
  <si>
    <t xml:space="preserve">x-bar = </t>
  </si>
  <si>
    <t xml:space="preserve">n = </t>
  </si>
  <si>
    <t xml:space="preserve">t for 95% = </t>
  </si>
  <si>
    <t>SS(Total) =</t>
  </si>
  <si>
    <t xml:space="preserve">SS(Regr) = </t>
  </si>
  <si>
    <t>Obs #</t>
  </si>
  <si>
    <t>Feet</t>
  </si>
  <si>
    <t>Outcome</t>
  </si>
  <si>
    <t>Made</t>
  </si>
  <si>
    <t>D</t>
  </si>
  <si>
    <t>Straight Line</t>
  </si>
  <si>
    <t>Distance</t>
  </si>
  <si>
    <t>% Made</t>
  </si>
  <si>
    <t>Attmpts</t>
  </si>
  <si>
    <t>Predicted</t>
  </si>
  <si>
    <t>squared error</t>
  </si>
  <si>
    <t>Miss</t>
  </si>
  <si>
    <t xml:space="preserve"> = Total of Squared Error</t>
  </si>
  <si>
    <t>= Intercept</t>
  </si>
  <si>
    <t>= Slope</t>
  </si>
  <si>
    <t>Fit a linear function of an exponential to the data.</t>
  </si>
  <si>
    <t>= total of squared error</t>
  </si>
  <si>
    <t>A</t>
  </si>
  <si>
    <t>B</t>
  </si>
  <si>
    <t>p^</t>
  </si>
  <si>
    <t>%</t>
  </si>
  <si>
    <t>Squared</t>
  </si>
  <si>
    <t>Error</t>
  </si>
  <si>
    <t>Solver Solution</t>
  </si>
  <si>
    <t>Fit a line letting x = distance and y = ln(odds).</t>
  </si>
  <si>
    <t>made</t>
  </si>
  <si>
    <t>ln(odds)</t>
  </si>
  <si>
    <t>odds ratio</t>
  </si>
  <si>
    <t>Missed</t>
  </si>
  <si>
    <t>Analyze &gt; Fit Model</t>
  </si>
  <si>
    <t>Use the output to predict the probability of a Made for a shot from 10 feet.</t>
  </si>
  <si>
    <t xml:space="preserve">Distance </t>
  </si>
  <si>
    <t>Linear function</t>
  </si>
  <si>
    <t>= Linear function value for distance = 10</t>
  </si>
  <si>
    <r>
      <t>= e</t>
    </r>
    <r>
      <rPr>
        <vertAlign val="superscript"/>
        <sz val="10"/>
        <color indexed="17"/>
        <rFont val="Arial"/>
        <family val="2"/>
      </rPr>
      <t>Linear function value for distance = 10</t>
    </r>
  </si>
  <si>
    <t>= p^ = estimated probability of a Made from 10 feet Distance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</si>
</sst>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color indexed="17"/>
      <name val="Calibri"/>
      <family val="2"/>
    </font>
    <font>
      <b/>
      <sz val="10"/>
      <color indexed="12"/>
      <name val="Times New Roman"/>
      <family val="1"/>
    </font>
    <font>
      <b/>
      <vertAlign val="subscript"/>
      <sz val="10"/>
      <color indexed="12"/>
      <name val="Calibri"/>
      <family val="2"/>
    </font>
    <font>
      <vertAlign val="subscript"/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name val="Arial"/>
      <family val="2"/>
    </font>
    <font>
      <sz val="14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61"/>
      <name val="Arial"/>
      <family val="2"/>
    </font>
    <font>
      <sz val="11.25"/>
      <color indexed="8"/>
      <name val="Arial"/>
      <family val="2"/>
    </font>
    <font>
      <sz val="10.25"/>
      <color indexed="8"/>
      <name val="Arial"/>
      <family val="2"/>
    </font>
    <font>
      <sz val="9.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color indexed="53"/>
      <name val="Calibri"/>
      <family val="2"/>
    </font>
    <font>
      <sz val="11"/>
      <color indexed="49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1"/>
      <color indexed="17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Arial"/>
      <family val="2"/>
    </font>
    <font>
      <vertAlign val="subscript"/>
      <sz val="11"/>
      <color indexed="8"/>
      <name val="Calibri"/>
      <family val="2"/>
    </font>
    <font>
      <b/>
      <sz val="11.25"/>
      <color indexed="8"/>
      <name val="Arial"/>
      <family val="2"/>
    </font>
    <font>
      <sz val="11"/>
      <color indexed="12"/>
      <name val="Calibri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0"/>
      <color indexed="57"/>
      <name val="Arial"/>
      <family val="2"/>
    </font>
    <font>
      <vertAlign val="superscript"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8"/>
      <color indexed="12"/>
      <name val="Cambria Math"/>
      <family val="1"/>
    </font>
    <font>
      <b/>
      <sz val="16"/>
      <color indexed="8"/>
      <name val="Cambria Math"/>
      <family val="1"/>
    </font>
    <font>
      <sz val="12"/>
      <color indexed="17"/>
      <name val="Arial"/>
      <family val="2"/>
    </font>
    <font>
      <b/>
      <sz val="16"/>
      <color indexed="8"/>
      <name val="+mn-lt"/>
      <family val="0"/>
    </font>
    <font>
      <sz val="16"/>
      <color indexed="8"/>
      <name val="+mn-lt"/>
      <family val="0"/>
    </font>
    <font>
      <b/>
      <vertAlign val="subscript"/>
      <sz val="12"/>
      <color indexed="8"/>
      <name val="Calibri"/>
      <family val="2"/>
    </font>
    <font>
      <b/>
      <sz val="10.5"/>
      <color indexed="8"/>
      <name val="Arial"/>
      <family val="2"/>
    </font>
    <font>
      <b/>
      <sz val="10.5"/>
      <color indexed="12"/>
      <name val="Arial"/>
      <family val="2"/>
    </font>
    <font>
      <b/>
      <vertAlign val="superscript"/>
      <sz val="10.5"/>
      <color indexed="12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1"/>
      <color theme="9" tint="-0.24997000396251678"/>
      <name val="Calibri"/>
      <family val="2"/>
    </font>
    <font>
      <sz val="11"/>
      <color theme="3" tint="0.39998000860214233"/>
      <name val="Calibri"/>
      <family val="2"/>
    </font>
    <font>
      <i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0000FF"/>
      <name val="Arial"/>
      <family val="2"/>
    </font>
    <font>
      <sz val="10"/>
      <color theme="9" tint="-0.24997000396251678"/>
      <name val="Arial"/>
      <family val="2"/>
    </font>
    <font>
      <b/>
      <i/>
      <sz val="10"/>
      <color theme="9" tint="-0.24997000396251678"/>
      <name val="Arial"/>
      <family val="2"/>
    </font>
    <font>
      <b/>
      <sz val="11"/>
      <color theme="9" tint="-0.24997000396251678"/>
      <name val="Calibri"/>
      <family val="2"/>
    </font>
    <font>
      <b/>
      <sz val="11"/>
      <color rgb="FF0000FF"/>
      <name val="Calibri"/>
      <family val="2"/>
    </font>
    <font>
      <b/>
      <sz val="10"/>
      <color rgb="FF006600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0" xfId="0" applyAlignment="1">
      <alignment horizontal="center"/>
    </xf>
    <xf numFmtId="0" fontId="103" fillId="0" borderId="0" xfId="0" applyFont="1" applyAlignment="1">
      <alignment/>
    </xf>
    <xf numFmtId="0" fontId="0" fillId="0" borderId="0" xfId="0" applyAlignment="1">
      <alignment horizontal="right"/>
    </xf>
    <xf numFmtId="0" fontId="104" fillId="0" borderId="0" xfId="0" applyFont="1" applyAlignment="1">
      <alignment/>
    </xf>
    <xf numFmtId="0" fontId="105" fillId="0" borderId="11" xfId="0" applyFont="1" applyFill="1" applyBorder="1" applyAlignment="1">
      <alignment horizontal="centerContinuous"/>
    </xf>
    <xf numFmtId="0" fontId="105" fillId="0" borderId="11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06" fillId="0" borderId="0" xfId="0" applyFont="1" applyAlignment="1">
      <alignment horizontal="center"/>
    </xf>
    <xf numFmtId="0" fontId="48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06" fillId="0" borderId="12" xfId="0" applyFont="1" applyBorder="1" applyAlignment="1">
      <alignment horizontal="center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0" fillId="0" borderId="0" xfId="0" applyFont="1" applyAlignment="1" quotePrefix="1">
      <alignment/>
    </xf>
    <xf numFmtId="0" fontId="109" fillId="0" borderId="0" xfId="0" applyFont="1" applyAlignment="1">
      <alignment/>
    </xf>
    <xf numFmtId="0" fontId="110" fillId="0" borderId="0" xfId="0" applyFont="1" applyAlignment="1" quotePrefix="1">
      <alignment horizontal="left"/>
    </xf>
    <xf numFmtId="0" fontId="111" fillId="0" borderId="0" xfId="0" applyFont="1" applyAlignment="1">
      <alignment/>
    </xf>
    <xf numFmtId="0" fontId="111" fillId="0" borderId="0" xfId="0" applyFont="1" applyAlignment="1" quotePrefix="1">
      <alignment/>
    </xf>
    <xf numFmtId="0" fontId="112" fillId="0" borderId="0" xfId="0" applyFont="1" applyAlignment="1">
      <alignment/>
    </xf>
    <xf numFmtId="0" fontId="112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5" fillId="0" borderId="0" xfId="0" applyFont="1" applyFill="1" applyBorder="1" applyAlignment="1">
      <alignment horizontal="right"/>
    </xf>
    <xf numFmtId="0" fontId="105" fillId="0" borderId="0" xfId="0" applyFont="1" applyFill="1" applyBorder="1" applyAlignment="1">
      <alignment horizontal="centerContinuous"/>
    </xf>
    <xf numFmtId="0" fontId="113" fillId="0" borderId="0" xfId="0" applyFont="1" applyAlignment="1">
      <alignment horizontal="center"/>
    </xf>
    <xf numFmtId="0" fontId="113" fillId="0" borderId="12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Continuous"/>
    </xf>
    <xf numFmtId="0" fontId="109" fillId="0" borderId="0" xfId="0" applyFont="1" applyFill="1" applyBorder="1" applyAlignment="1">
      <alignment/>
    </xf>
    <xf numFmtId="0" fontId="110" fillId="0" borderId="0" xfId="0" applyFont="1" applyAlignment="1">
      <alignment horizontal="left"/>
    </xf>
    <xf numFmtId="0" fontId="114" fillId="0" borderId="11" xfId="0" applyFont="1" applyFill="1" applyBorder="1" applyAlignment="1">
      <alignment horizontal="center"/>
    </xf>
    <xf numFmtId="0" fontId="111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21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33" borderId="0" xfId="55" applyFill="1">
      <alignment/>
      <protection/>
    </xf>
    <xf numFmtId="0" fontId="4" fillId="33" borderId="0" xfId="55" applyFont="1" applyFill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19" fillId="33" borderId="0" xfId="55" applyFont="1" applyFill="1" applyAlignment="1">
      <alignment horizontal="left"/>
      <protection/>
    </xf>
    <xf numFmtId="0" fontId="0" fillId="0" borderId="0" xfId="55" applyFill="1">
      <alignment/>
      <protection/>
    </xf>
    <xf numFmtId="0" fontId="7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0" fillId="0" borderId="0" xfId="55" applyAlignment="1">
      <alignment horizontal="left"/>
      <protection/>
    </xf>
    <xf numFmtId="0" fontId="19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0" xfId="55" applyBorder="1">
      <alignment/>
      <protection/>
    </xf>
    <xf numFmtId="0" fontId="0" fillId="0" borderId="0" xfId="55" quotePrefix="1">
      <alignment/>
      <protection/>
    </xf>
    <xf numFmtId="0" fontId="0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107" fillId="0" borderId="0" xfId="55" applyFont="1" quotePrefix="1">
      <alignment/>
      <protection/>
    </xf>
    <xf numFmtId="9" fontId="0" fillId="0" borderId="0" xfId="55" applyNumberFormat="1" applyAlignment="1" quotePrefix="1">
      <alignment horizontal="center"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9" fontId="0" fillId="0" borderId="0" xfId="55" applyNumberForma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0" fillId="0" borderId="0" xfId="55" applyBorder="1">
      <alignment/>
      <protection/>
    </xf>
    <xf numFmtId="0" fontId="4" fillId="34" borderId="0" xfId="55" applyFont="1" applyFill="1" applyAlignment="1">
      <alignment horizontal="center"/>
      <protection/>
    </xf>
    <xf numFmtId="0" fontId="68" fillId="0" borderId="0" xfId="55" applyFont="1" applyAlignment="1">
      <alignment horizontal="center"/>
      <protection/>
    </xf>
    <xf numFmtId="0" fontId="4" fillId="0" borderId="0" xfId="55" applyFont="1" quotePrefix="1">
      <alignment/>
      <protection/>
    </xf>
    <xf numFmtId="9" fontId="0" fillId="0" borderId="0" xfId="55" applyNumberFormat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 quotePrefix="1">
      <alignment horizontal="left"/>
      <protection/>
    </xf>
    <xf numFmtId="0" fontId="15" fillId="0" borderId="0" xfId="55" applyFont="1" applyAlignment="1">
      <alignment horizontal="center"/>
      <protection/>
    </xf>
    <xf numFmtId="9" fontId="1" fillId="0" borderId="0" xfId="55" applyNumberFormat="1" applyFont="1">
      <alignment/>
      <protection/>
    </xf>
    <xf numFmtId="0" fontId="69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12" xfId="55" applyBorder="1">
      <alignment/>
      <protection/>
    </xf>
    <xf numFmtId="0" fontId="70" fillId="0" borderId="0" xfId="55" applyFont="1">
      <alignment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0" fillId="0" borderId="0" xfId="55" applyNumberFormat="1">
      <alignment/>
      <protection/>
    </xf>
    <xf numFmtId="0" fontId="118" fillId="0" borderId="0" xfId="55" applyFont="1" applyAlignment="1">
      <alignment horizontal="center"/>
      <protection/>
    </xf>
    <xf numFmtId="0" fontId="118" fillId="0" borderId="0" xfId="55" applyFont="1">
      <alignment/>
      <protection/>
    </xf>
    <xf numFmtId="0" fontId="118" fillId="0" borderId="0" xfId="55" applyNumberFormat="1" applyFont="1" applyAlignment="1">
      <alignment horizontal="center"/>
      <protection/>
    </xf>
    <xf numFmtId="9" fontId="0" fillId="0" borderId="0" xfId="55" applyNumberFormat="1" quotePrefix="1">
      <alignment/>
      <protection/>
    </xf>
    <xf numFmtId="0" fontId="119" fillId="0" borderId="0" xfId="55" applyFont="1">
      <alignment/>
      <protection/>
    </xf>
    <xf numFmtId="0" fontId="109" fillId="0" borderId="0" xfId="55" applyFont="1">
      <alignment/>
      <protection/>
    </xf>
    <xf numFmtId="0" fontId="107" fillId="0" borderId="0" xfId="55" applyFont="1">
      <alignment/>
      <protection/>
    </xf>
    <xf numFmtId="0" fontId="107" fillId="0" borderId="0" xfId="55" applyFont="1" applyAlignment="1">
      <alignment horizontal="center"/>
      <protection/>
    </xf>
    <xf numFmtId="0" fontId="107" fillId="0" borderId="10" xfId="55" applyFont="1" applyBorder="1">
      <alignment/>
      <protection/>
    </xf>
    <xf numFmtId="0" fontId="12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1"/>
          <c:w val="0.712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'Confidence Intervals (2)'!$B$7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(2)'!$B$8:$B$18</c:f>
              <c:numCache/>
            </c:numRef>
          </c:yVal>
          <c:smooth val="0"/>
        </c:ser>
        <c:ser>
          <c:idx val="1"/>
          <c:order val="1"/>
          <c:tx>
            <c:strRef>
              <c:f>'Confidence Intervals (2)'!$C$7</c:f>
              <c:strCache>
                <c:ptCount val="1"/>
                <c:pt idx="0">
                  <c:v>y-hat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(2)'!$C$8:$C$18</c:f>
              <c:numCache/>
            </c:numRef>
          </c:yVal>
          <c:smooth val="0"/>
        </c:ser>
        <c:ser>
          <c:idx val="2"/>
          <c:order val="2"/>
          <c:tx>
            <c:strRef>
              <c:f>'Confidence Intervals (2)'!$D$7</c:f>
              <c:strCache>
                <c:ptCount val="1"/>
                <c:pt idx="0">
                  <c:v>L.L. Mean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(2)'!$D$8:$D$18</c:f>
              <c:numCache/>
            </c:numRef>
          </c:yVal>
          <c:smooth val="0"/>
        </c:ser>
        <c:ser>
          <c:idx val="3"/>
          <c:order val="3"/>
          <c:tx>
            <c:strRef>
              <c:f>'Confidence Intervals (2)'!$E$7</c:f>
              <c:strCache>
                <c:ptCount val="1"/>
                <c:pt idx="0">
                  <c:v>U.L. Mean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(2)'!$E$8:$E$18</c:f>
              <c:numCache/>
            </c:numRef>
          </c:yVal>
          <c:smooth val="0"/>
        </c:ser>
        <c:ser>
          <c:idx val="4"/>
          <c:order val="4"/>
          <c:tx>
            <c:strRef>
              <c:f>'Confidence Intervals (2)'!$F$7</c:f>
              <c:strCache>
                <c:ptCount val="1"/>
                <c:pt idx="0">
                  <c:v>L.L.Predict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(2)'!$F$8:$F$18</c:f>
              <c:numCache/>
            </c:numRef>
          </c:yVal>
          <c:smooth val="0"/>
        </c:ser>
        <c:ser>
          <c:idx val="5"/>
          <c:order val="5"/>
          <c:tx>
            <c:strRef>
              <c:f>'Confidence Intervals (2)'!$G$7</c:f>
              <c:strCache>
                <c:ptCount val="1"/>
                <c:pt idx="0">
                  <c:v>U.L.Predict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(2)'!$G$8:$G$18</c:f>
              <c:numCache/>
            </c:numRef>
          </c:yVal>
          <c:smooth val="0"/>
        </c:ser>
        <c:ser>
          <c:idx val="6"/>
          <c:order val="6"/>
          <c:tx>
            <c:strRef>
              <c:f>'Confidence Intervals (2)'!$H$7</c:f>
              <c:strCache>
                <c:ptCount val="1"/>
                <c:pt idx="0">
                  <c:v>Phenomenon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'Confidence Intervals (2)'!$A$8:$A$18</c:f>
              <c:numCache/>
            </c:numRef>
          </c:xVal>
          <c:yVal>
            <c:numRef>
              <c:f>'Confidence Intervals (2)'!$H$8:$H$18</c:f>
              <c:numCache/>
            </c:numRef>
          </c:yVal>
          <c:smooth val="0"/>
        </c:ser>
        <c:axId val="46348194"/>
        <c:axId val="33787979"/>
      </c:scatterChart>
      <c:valAx>
        <c:axId val="463481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7979"/>
        <c:crosses val="autoZero"/>
        <c:crossBetween val="midCat"/>
        <c:dispUnits/>
        <c:majorUnit val="0.2"/>
      </c:valAx>
      <c:valAx>
        <c:axId val="3378797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81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56"/>
          <c:y val="0.14975"/>
          <c:w val="0.227"/>
          <c:h val="0.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-0.01675"/>
          <c:w val="0.957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15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25</c:v>
              </c:pt>
              <c:pt idx="5">
                <c:v>26</c:v>
              </c:pt>
              <c:pt idx="6">
                <c:v>30</c:v>
              </c:pt>
              <c:pt idx="7">
                <c:v>32</c:v>
              </c:pt>
            </c:numLit>
          </c:yVal>
          <c:smooth val="0"/>
        </c:ser>
        <c:axId val="38458920"/>
        <c:axId val="2330953"/>
      </c:scatterChart>
      <c:valAx>
        <c:axId val="3845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0953"/>
        <c:crosses val="autoZero"/>
        <c:crossBetween val="midCat"/>
        <c:dispUnits/>
      </c:valAx>
      <c:valAx>
        <c:axId val="2330953"/>
        <c:scaling>
          <c:orientation val="minMax"/>
          <c:min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89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1675"/>
          <c:w val="0.9597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'CI transform ex'!$A$2:$A$9</c:f>
              <c:numCache/>
            </c:numRef>
          </c:xVal>
          <c:yVal>
            <c:numRef>
              <c:f>'CI transform ex'!$B$2:$B$9</c:f>
              <c:numCache/>
            </c:numRef>
          </c:yVal>
          <c:smooth val="0"/>
        </c:ser>
        <c:axId val="48950014"/>
        <c:axId val="21317335"/>
      </c:scatterChart>
      <c:valAx>
        <c:axId val="489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17335"/>
        <c:crosses val="autoZero"/>
        <c:crossBetween val="midCat"/>
        <c:dispUnits/>
      </c:valAx>
      <c:valAx>
        <c:axId val="21317335"/>
        <c:scaling>
          <c:orientation val="minMax"/>
          <c:min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500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2"/>
          <c:w val="0.9875"/>
          <c:h val="0.8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1'!$A$6:$A$12</c:f>
              <c:numCache/>
            </c:numRef>
          </c:xVal>
          <c:yVal>
            <c:numRef>
              <c:f>'Data 1'!$B$6:$B$12</c:f>
              <c:numCache/>
            </c:numRef>
          </c:yVal>
          <c:smooth val="0"/>
        </c:ser>
        <c:axId val="45010852"/>
        <c:axId val="5703797"/>
      </c:scatterChart>
      <c:valAx>
        <c:axId val="45010852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the basket in feet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797"/>
        <c:crosses val="autoZero"/>
        <c:crossBetween val="midCat"/>
        <c:dispUnits/>
        <c:majorUnit val="5"/>
      </c:valAx>
      <c:valAx>
        <c:axId val="5703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08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5"/>
          <c:w val="0.9707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'y =1st order fcn. '!$B$9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 =1st order fcn. '!$A$10:$A$16</c:f>
              <c:numCache/>
            </c:numRef>
          </c:cat>
          <c:val>
            <c:numRef>
              <c:f>'y =1st order fcn. '!$B$10:$B$16</c:f>
              <c:numCache/>
            </c:numRef>
          </c:val>
          <c:smooth val="0"/>
        </c:ser>
        <c:ser>
          <c:idx val="1"/>
          <c:order val="1"/>
          <c:tx>
            <c:strRef>
              <c:f>'y =1st order fcn. '!$C$8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'y =1st order fcn. '!$A$10:$A$16</c:f>
              <c:numCache/>
            </c:numRef>
          </c:cat>
          <c:val>
            <c:numRef>
              <c:f>'y =1st order fcn. '!$C$10:$C$16</c:f>
              <c:numCache/>
            </c:numRef>
          </c:val>
          <c:smooth val="0"/>
        </c:ser>
        <c:marker val="1"/>
        <c:axId val="52670874"/>
        <c:axId val="32346531"/>
      </c:lineChart>
      <c:catAx>
        <c:axId val="52670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46531"/>
        <c:crosses val="autoZero"/>
        <c:auto val="0"/>
        <c:lblOffset val="100"/>
        <c:tickLblSkip val="1"/>
        <c:noMultiLvlLbl val="0"/>
      </c:catAx>
      <c:valAx>
        <c:axId val="323465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708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5"/>
          <c:y val="0.711"/>
          <c:w val="0.24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365"/>
          <c:w val="0.99675"/>
          <c:h val="0.9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'y = f(ln(odds))'!$B$3</c:f>
              <c:strCache>
                <c:ptCount val="1"/>
                <c:pt idx="0">
                  <c:v>ln(odds)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'y = f(ln(odds))'!$A$4:$A$9</c:f>
              <c:numCache/>
            </c:numRef>
          </c:xVal>
          <c:yVal>
            <c:numRef>
              <c:f>'y = f(ln(odds))'!$B$4:$B$9</c:f>
              <c:numCache/>
            </c:numRef>
          </c:yVal>
          <c:smooth val="0"/>
        </c:ser>
        <c:ser>
          <c:idx val="1"/>
          <c:order val="1"/>
          <c:tx>
            <c:strRef>
              <c:f>'y = f(ln(odds))'!$C$3</c:f>
              <c:strCache>
                <c:ptCount val="1"/>
                <c:pt idx="0">
                  <c:v>odds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'y = f(ln(odds))'!$A$4:$A$9</c:f>
              <c:numCache/>
            </c:numRef>
          </c:xVal>
          <c:yVal>
            <c:numRef>
              <c:f>'y = f(ln(odds))'!$C$4:$C$9</c:f>
              <c:numCache/>
            </c:numRef>
          </c:yVal>
          <c:smooth val="0"/>
        </c:ser>
        <c:axId val="8188512"/>
        <c:axId val="37741025"/>
      </c:scatterChart>
      <c:valAx>
        <c:axId val="8188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7741025"/>
        <c:crosses val="autoZero"/>
        <c:crossBetween val="midCat"/>
        <c:dispUnits/>
      </c:valAx>
      <c:valAx>
        <c:axId val="377410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885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"/>
          <c:w val="0.266"/>
          <c:h val="0.4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12</xdr:col>
      <xdr:colOff>247650</xdr:colOff>
      <xdr:row>31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6675"/>
          <a:ext cx="7553325" cy="500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gave back the papers for the November 24 quiz.   I will post the solution on Blackboard.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announced that I would download the MyStatLab Homework grades at 9 AM on Wednesday, December 10.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will hold a help session 4-6:45 PM on Monday, December 8 in our classroom.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downloaded the file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 on Regression for Chapters 16, 17, 18 &amp; 19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the lectures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webpage and covered the green tabs for 16.6  &amp; 16.7 material on confidence interval for the mean response (briefly discussed prediciton intervals for an individual response but these intervals will not be covered on the final exam).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Next I began the last topic 18.6 Logistic Regression and used the Green tabs that are from the file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Logistic Regression covered in Section 18.6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will finish covering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Logistic Regression on Wednesday.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10</xdr:col>
      <xdr:colOff>85725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457450" y="0"/>
        <a:ext cx="32099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19050</xdr:rowOff>
    </xdr:from>
    <xdr:to>
      <xdr:col>4</xdr:col>
      <xdr:colOff>552450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19050"/>
          <a:ext cx="2314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for distance and % of shots made on a basketball court</a:t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5</xdr:col>
      <xdr:colOff>0</xdr:colOff>
      <xdr:row>16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2133600"/>
          <a:ext cx="2447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If you use a straight line to predict the probability of making a basket, the  probability at 35 ft. is negative.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11</xdr:col>
      <xdr:colOff>400050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276600" y="228600"/>
        <a:ext cx="33813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16</xdr:row>
      <xdr:rowOff>9525</xdr:rowOff>
    </xdr:from>
    <xdr:to>
      <xdr:col>4</xdr:col>
      <xdr:colOff>514350</xdr:colOff>
      <xdr:row>20</xdr:row>
      <xdr:rowOff>9525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257300" y="2809875"/>
          <a:ext cx="12763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With this function the predictions are never negative.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152400</xdr:rowOff>
    </xdr:from>
    <xdr:to>
      <xdr:col>10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2914650" y="152400"/>
        <a:ext cx="3200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438150</xdr:colOff>
      <xdr:row>15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619250"/>
          <a:ext cx="27336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criteria are different and the coefficients to the right are not the same as those determined on the previous sheet, but the coefficients are close.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for 30 ft. are not used because ln(0) = undefined.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9525</xdr:rowOff>
    </xdr:from>
    <xdr:to>
      <xdr:col>8</xdr:col>
      <xdr:colOff>361950</xdr:colOff>
      <xdr:row>12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400050"/>
          <a:ext cx="15811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 that the probability of Made decreases as Feet increases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Also the probability of Miss increases as Feet increases.</a:t>
          </a:r>
        </a:p>
      </xdr:txBody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6</xdr:col>
      <xdr:colOff>390525</xdr:colOff>
      <xdr:row>22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33625"/>
          <a:ext cx="381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20</xdr:row>
      <xdr:rowOff>9525</xdr:rowOff>
    </xdr:from>
    <xdr:to>
      <xdr:col>3</xdr:col>
      <xdr:colOff>200025</xdr:colOff>
      <xdr:row>21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38125" y="3314700"/>
          <a:ext cx="1790700" cy="18097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19</xdr:row>
      <xdr:rowOff>38100</xdr:rowOff>
    </xdr:from>
    <xdr:to>
      <xdr:col>8</xdr:col>
      <xdr:colOff>266700</xdr:colOff>
      <xdr:row>22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81325" y="3181350"/>
          <a:ext cx="2162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.2286 or 22.86%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of the 70 observations are misclassified.</a:t>
          </a:r>
        </a:p>
      </xdr:txBody>
    </xdr:sp>
    <xdr:clientData/>
  </xdr:twoCellAnchor>
  <xdr:twoCellAnchor editAs="oneCell">
    <xdr:from>
      <xdr:col>0</xdr:col>
      <xdr:colOff>0</xdr:colOff>
      <xdr:row>22</xdr:row>
      <xdr:rowOff>66675</xdr:rowOff>
    </xdr:from>
    <xdr:to>
      <xdr:col>5</xdr:col>
      <xdr:colOff>504825</xdr:colOff>
      <xdr:row>29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95700"/>
          <a:ext cx="3552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26</xdr:row>
      <xdr:rowOff>152400</xdr:rowOff>
    </xdr:from>
    <xdr:to>
      <xdr:col>9</xdr:col>
      <xdr:colOff>581025</xdr:colOff>
      <xdr:row>29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95425" y="4429125"/>
          <a:ext cx="4572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Made/Miss indicates that Made is being predicted rather than Miss.</a:t>
          </a:r>
        </a:p>
      </xdr:txBody>
    </xdr:sp>
    <xdr:clientData/>
  </xdr:twoCellAnchor>
  <xdr:twoCellAnchor>
    <xdr:from>
      <xdr:col>1</xdr:col>
      <xdr:colOff>276225</xdr:colOff>
      <xdr:row>27</xdr:row>
      <xdr:rowOff>28575</xdr:rowOff>
    </xdr:from>
    <xdr:to>
      <xdr:col>2</xdr:col>
      <xdr:colOff>257175</xdr:colOff>
      <xdr:row>28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885825" y="4467225"/>
          <a:ext cx="590550" cy="18097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76200</xdr:rowOff>
    </xdr:from>
    <xdr:to>
      <xdr:col>9</xdr:col>
      <xdr:colOff>409575</xdr:colOff>
      <xdr:row>27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38550" y="3705225"/>
          <a:ext cx="22574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-.1856 coefficient for  Feet shows that probability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of Made decreases as Feet increases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0.0115</cdr:y>
    </cdr:from>
    <cdr:to>
      <cdr:x>0.9965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57675" y="47625"/>
          <a:ext cx="25146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95% Confidence Intervals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457200</xdr:colOff>
      <xdr:row>29</xdr:row>
      <xdr:rowOff>57150</xdr:rowOff>
    </xdr:to>
    <xdr:graphicFrame>
      <xdr:nvGraphicFramePr>
        <xdr:cNvPr id="1" name="Chart 3"/>
        <xdr:cNvGraphicFramePr/>
      </xdr:nvGraphicFramePr>
      <xdr:xfrm>
        <a:off x="0" y="361950"/>
        <a:ext cx="68008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9525</xdr:rowOff>
    </xdr:from>
    <xdr:to>
      <xdr:col>2</xdr:col>
      <xdr:colOff>457200</xdr:colOff>
      <xdr:row>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545" t="64967" r="33332" b="28025"/>
        <a:stretch>
          <a:fillRect/>
        </a:stretch>
      </xdr:blipFill>
      <xdr:spPr>
        <a:xfrm>
          <a:off x="9525" y="2724150"/>
          <a:ext cx="2428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17</xdr:row>
      <xdr:rowOff>19050</xdr:rowOff>
    </xdr:from>
    <xdr:to>
      <xdr:col>8</xdr:col>
      <xdr:colOff>161925</xdr:colOff>
      <xdr:row>21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744" t="52441" r="33332" b="40763"/>
        <a:stretch>
          <a:fillRect/>
        </a:stretch>
      </xdr:blipFill>
      <xdr:spPr>
        <a:xfrm>
          <a:off x="3619500" y="2914650"/>
          <a:ext cx="3162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10</xdr:col>
      <xdr:colOff>57150</xdr:colOff>
      <xdr:row>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8100"/>
          <a:ext cx="81819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Confidence Intervals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 the response Y given a value of the predictor X ( I prefer using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the given value while the text uses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 is important to note the difference between finding a confidence interval for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the mean value of Y also referred to as the expected value of y, E(Y|X)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and finding a confidence interval for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 individual value of Y given the value of 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 Y^(X) is used as the center of each interval, however   the standard erro r is different as shown below.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0.864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238250"/>
          <a:ext cx="4448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-3            -2            -1              0             1              2             3              4              5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8</xdr:col>
      <xdr:colOff>428625</xdr:colOff>
      <xdr:row>8</xdr:row>
      <xdr:rowOff>142875</xdr:rowOff>
    </xdr:to>
    <xdr:graphicFrame>
      <xdr:nvGraphicFramePr>
        <xdr:cNvPr id="1" name="Chart 1"/>
        <xdr:cNvGraphicFramePr/>
      </xdr:nvGraphicFramePr>
      <xdr:xfrm>
        <a:off x="1438275" y="0"/>
        <a:ext cx="456247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638175</xdr:colOff>
      <xdr:row>0</xdr:row>
      <xdr:rowOff>0</xdr:rowOff>
    </xdr:from>
    <xdr:to>
      <xdr:col>12</xdr:col>
      <xdr:colOff>314325</xdr:colOff>
      <xdr:row>11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498" b="42968"/>
        <a:stretch>
          <a:fillRect/>
        </a:stretch>
      </xdr:blipFill>
      <xdr:spPr>
        <a:xfrm>
          <a:off x="6210300" y="0"/>
          <a:ext cx="25431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66675</xdr:rowOff>
    </xdr:from>
    <xdr:to>
      <xdr:col>5</xdr:col>
      <xdr:colOff>47625</xdr:colOff>
      <xdr:row>7</xdr:row>
      <xdr:rowOff>95250</xdr:rowOff>
    </xdr:to>
    <xdr:sp>
      <xdr:nvSpPr>
        <xdr:cNvPr id="3" name="Straight Connector 4"/>
        <xdr:cNvSpPr>
          <a:spLocks/>
        </xdr:cNvSpPr>
      </xdr:nvSpPr>
      <xdr:spPr>
        <a:xfrm rot="16200000" flipV="1">
          <a:off x="3314700" y="66675"/>
          <a:ext cx="19050" cy="1162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0.864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238250"/>
          <a:ext cx="442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-3            -2            -1              0             1              2             3              4              5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8</xdr:col>
      <xdr:colOff>428625</xdr:colOff>
      <xdr:row>8</xdr:row>
      <xdr:rowOff>142875</xdr:rowOff>
    </xdr:to>
    <xdr:graphicFrame>
      <xdr:nvGraphicFramePr>
        <xdr:cNvPr id="1" name="Chart 1"/>
        <xdr:cNvGraphicFramePr/>
      </xdr:nvGraphicFramePr>
      <xdr:xfrm>
        <a:off x="1438275" y="0"/>
        <a:ext cx="45434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0</xdr:row>
      <xdr:rowOff>66675</xdr:rowOff>
    </xdr:from>
    <xdr:to>
      <xdr:col>5</xdr:col>
      <xdr:colOff>47625</xdr:colOff>
      <xdr:row>7</xdr:row>
      <xdr:rowOff>95250</xdr:rowOff>
    </xdr:to>
    <xdr:sp>
      <xdr:nvSpPr>
        <xdr:cNvPr id="2" name="Straight Connector 3"/>
        <xdr:cNvSpPr>
          <a:spLocks/>
        </xdr:cNvSpPr>
      </xdr:nvSpPr>
      <xdr:spPr>
        <a:xfrm rot="16200000" flipV="1">
          <a:off x="3314700" y="66675"/>
          <a:ext cx="19050" cy="1162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476250</xdr:colOff>
      <xdr:row>0</xdr:row>
      <xdr:rowOff>0</xdr:rowOff>
    </xdr:from>
    <xdr:to>
      <xdr:col>12</xdr:col>
      <xdr:colOff>38100</xdr:colOff>
      <xdr:row>10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r="25721" b="45675"/>
        <a:stretch>
          <a:fillRect/>
        </a:stretch>
      </xdr:blipFill>
      <xdr:spPr>
        <a:xfrm>
          <a:off x="6029325" y="0"/>
          <a:ext cx="274320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10</xdr:row>
      <xdr:rowOff>0</xdr:rowOff>
    </xdr:from>
    <xdr:to>
      <xdr:col>3</xdr:col>
      <xdr:colOff>895350</xdr:colOff>
      <xdr:row>12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100" y="1638300"/>
          <a:ext cx="22288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Transform the date</a:t>
          </a: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so x=3 is on the y axis for the transformed data.</a:t>
          </a:r>
        </a:p>
      </xdr:txBody>
    </xdr:sp>
    <xdr:clientData/>
  </xdr:twoCellAnchor>
  <xdr:twoCellAnchor>
    <xdr:from>
      <xdr:col>3</xdr:col>
      <xdr:colOff>876300</xdr:colOff>
      <xdr:row>28</xdr:row>
      <xdr:rowOff>19050</xdr:rowOff>
    </xdr:from>
    <xdr:to>
      <xdr:col>4</xdr:col>
      <xdr:colOff>28575</xdr:colOff>
      <xdr:row>29</xdr:row>
      <xdr:rowOff>9525</xdr:rowOff>
    </xdr:to>
    <xdr:sp>
      <xdr:nvSpPr>
        <xdr:cNvPr id="5" name="Straight Arrow Connector 7"/>
        <xdr:cNvSpPr>
          <a:spLocks/>
        </xdr:cNvSpPr>
      </xdr:nvSpPr>
      <xdr:spPr>
        <a:xfrm rot="5400000">
          <a:off x="2247900" y="4705350"/>
          <a:ext cx="57150" cy="152400"/>
        </a:xfrm>
        <a:prstGeom prst="straightConnector1">
          <a:avLst/>
        </a:prstGeom>
        <a:noFill/>
        <a:ln w="1905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10</xdr:col>
      <xdr:colOff>514350</xdr:colOff>
      <xdr:row>29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57150"/>
          <a:ext cx="6505575" cy="465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regression is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Y (response variable) being a continuous variable, but it is not a proper modeling method if the Y (response variable) is a categorical variable.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Binary or Bivariate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Logistic Regression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(18.6) can model the relationship between a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dichotomous (2-category) variable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or more quantitative predictor or independent variables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(some of which may be indicator or dummy variables representing one or more categorical variables).  The model can be used to predict the probability of an event occuring for a set of values for the predictor variables.  Hence 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 logistic regression the predicted value is the probability 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 ̂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rather than the value of the response variable 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y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 ̂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is the case with least squares linear regression.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 ̂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Linear Function of values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 e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Linear Function of values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or equivalently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 ̂</a:t>
          </a:r>
          <a:r>
            <a:rPr lang="en-US" cap="none" sz="1600" b="1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=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 e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-(Linear Function of values)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600" b="1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 
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Function = b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+b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∙x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+b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∙x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... + b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∙x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where k = number of predictor variables.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Also Linear Function = natural logarithm of the odds ratio.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ndrews\Downloads\logis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1"/>
      <sheetName val="y =1st order fcn. "/>
      <sheetName val="y = f(ln(odds))"/>
      <sheetName val="Coefficients"/>
      <sheetName val="JMP"/>
      <sheetName val="Motorcycles"/>
    </sheetNames>
    <sheetDataSet>
      <sheetData sheetId="1">
        <row r="6">
          <cell r="A6">
            <v>1</v>
          </cell>
          <cell r="B6">
            <v>0.9</v>
          </cell>
        </row>
        <row r="7">
          <cell r="A7">
            <v>5</v>
          </cell>
          <cell r="B7">
            <v>0.8</v>
          </cell>
        </row>
        <row r="8">
          <cell r="A8">
            <v>10</v>
          </cell>
          <cell r="B8">
            <v>0.7</v>
          </cell>
        </row>
        <row r="9">
          <cell r="A9">
            <v>15</v>
          </cell>
          <cell r="B9">
            <v>0.6</v>
          </cell>
        </row>
        <row r="10">
          <cell r="A10">
            <v>20</v>
          </cell>
          <cell r="B10">
            <v>0.3</v>
          </cell>
        </row>
        <row r="11">
          <cell r="A11">
            <v>25</v>
          </cell>
          <cell r="B11">
            <v>0.1</v>
          </cell>
        </row>
        <row r="12">
          <cell r="A12">
            <v>30</v>
          </cell>
          <cell r="B12">
            <v>0</v>
          </cell>
        </row>
      </sheetData>
      <sheetData sheetId="2">
        <row r="8">
          <cell r="C8" t="str">
            <v>%</v>
          </cell>
        </row>
        <row r="9">
          <cell r="B9" t="str">
            <v>Predicted</v>
          </cell>
        </row>
        <row r="10">
          <cell r="A10">
            <v>1</v>
          </cell>
          <cell r="B10">
            <v>0.9276133130772345</v>
          </cell>
          <cell r="C10">
            <v>0.9</v>
          </cell>
        </row>
        <row r="11">
          <cell r="A11">
            <v>5</v>
          </cell>
          <cell r="B11">
            <v>0.8621298735803162</v>
          </cell>
          <cell r="C11">
            <v>0.8</v>
          </cell>
        </row>
        <row r="12">
          <cell r="A12">
            <v>10</v>
          </cell>
          <cell r="B12">
            <v>0.7183355525565052</v>
          </cell>
          <cell r="C12">
            <v>0.7</v>
          </cell>
        </row>
        <row r="13">
          <cell r="A13">
            <v>15</v>
          </cell>
          <cell r="B13">
            <v>0.509835453971781</v>
          </cell>
          <cell r="C13">
            <v>0.6</v>
          </cell>
        </row>
        <row r="14">
          <cell r="A14">
            <v>20</v>
          </cell>
          <cell r="B14">
            <v>0.2978563769314485</v>
          </cell>
          <cell r="C14">
            <v>0.3</v>
          </cell>
        </row>
        <row r="15">
          <cell r="A15">
            <v>25</v>
          </cell>
          <cell r="B15">
            <v>0.14749308682499923</v>
          </cell>
          <cell r="C15">
            <v>0.1</v>
          </cell>
        </row>
        <row r="16">
          <cell r="A16">
            <v>30</v>
          </cell>
          <cell r="B16">
            <v>0.06591056354325361</v>
          </cell>
          <cell r="C16">
            <v>0</v>
          </cell>
        </row>
      </sheetData>
      <sheetData sheetId="3">
        <row r="3">
          <cell r="B3" t="str">
            <v>ln(odds)</v>
          </cell>
          <cell r="C3" t="str">
            <v>odds ratio</v>
          </cell>
        </row>
        <row r="4">
          <cell r="A4">
            <v>1</v>
          </cell>
          <cell r="B4">
            <v>2.1972245773362196</v>
          </cell>
          <cell r="C4">
            <v>9</v>
          </cell>
        </row>
        <row r="5">
          <cell r="A5">
            <v>5</v>
          </cell>
          <cell r="B5">
            <v>1.3862943611198906</v>
          </cell>
          <cell r="C5">
            <v>4</v>
          </cell>
        </row>
        <row r="6">
          <cell r="A6">
            <v>10</v>
          </cell>
          <cell r="B6">
            <v>0.8472978603872037</v>
          </cell>
          <cell r="C6">
            <v>2.3333333333333335</v>
          </cell>
        </row>
        <row r="7">
          <cell r="A7">
            <v>15</v>
          </cell>
          <cell r="B7">
            <v>0.4054651081081644</v>
          </cell>
          <cell r="C7">
            <v>1.5</v>
          </cell>
        </row>
        <row r="8">
          <cell r="A8">
            <v>20</v>
          </cell>
          <cell r="B8">
            <v>-0.8472978603872037</v>
          </cell>
          <cell r="C8">
            <v>0.42857142857142855</v>
          </cell>
        </row>
        <row r="9">
          <cell r="A9">
            <v>25</v>
          </cell>
          <cell r="B9">
            <v>-2.1972245773362196</v>
          </cell>
          <cell r="C9">
            <v>0.1111111111111111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zoomScalePageLayoutView="0" workbookViewId="0" topLeftCell="A15">
      <selection activeCell="K34" sqref="K34"/>
    </sheetView>
  </sheetViews>
  <sheetFormatPr defaultColWidth="9.140625" defaultRowHeight="12.75"/>
  <cols>
    <col min="1" max="16384" width="9.140625" style="50" customWidth="1"/>
  </cols>
  <sheetData>
    <row r="1" spans="7:8" ht="18">
      <c r="G1" s="94" t="s">
        <v>109</v>
      </c>
      <c r="H1" s="94"/>
    </row>
    <row r="31" spans="1:8" ht="12.75">
      <c r="A31" s="95" t="s">
        <v>110</v>
      </c>
      <c r="B31" s="96"/>
      <c r="C31" s="96"/>
      <c r="D31" s="96"/>
      <c r="E31" s="96"/>
      <c r="F31" s="96"/>
      <c r="G31" s="96"/>
      <c r="H31" s="96"/>
    </row>
    <row r="32" spans="1:8" ht="12.75">
      <c r="A32" s="96"/>
      <c r="B32" s="96"/>
      <c r="C32" s="96" t="s">
        <v>111</v>
      </c>
      <c r="D32" s="96" t="s">
        <v>112</v>
      </c>
      <c r="E32" s="96"/>
      <c r="F32" s="96"/>
      <c r="G32" s="96"/>
      <c r="H32" s="96"/>
    </row>
    <row r="33" spans="1:8" ht="12.75">
      <c r="A33" s="96" t="s">
        <v>23</v>
      </c>
      <c r="B33" s="96">
        <v>2.69636004</v>
      </c>
      <c r="C33" s="96"/>
      <c r="D33" s="96">
        <f>B33</f>
        <v>2.69636004</v>
      </c>
      <c r="E33" s="96"/>
      <c r="F33" s="96"/>
      <c r="G33" s="96"/>
      <c r="H33" s="96"/>
    </row>
    <row r="34" spans="1:8" ht="13.5" thickBot="1">
      <c r="A34" s="96" t="s">
        <v>81</v>
      </c>
      <c r="B34" s="96">
        <v>-0.1856334</v>
      </c>
      <c r="C34" s="97">
        <v>10</v>
      </c>
      <c r="D34" s="98">
        <f>B34*C34</f>
        <v>-1.856334</v>
      </c>
      <c r="E34" s="96"/>
      <c r="F34" s="96"/>
      <c r="G34" s="96"/>
      <c r="H34" s="96"/>
    </row>
    <row r="35" spans="1:8" ht="12.75">
      <c r="A35" s="96"/>
      <c r="B35" s="96"/>
      <c r="C35" s="96"/>
      <c r="D35" s="96">
        <f>SUM(D33:D34)</f>
        <v>0.8400260400000001</v>
      </c>
      <c r="E35" s="68" t="s">
        <v>113</v>
      </c>
      <c r="F35" s="96"/>
      <c r="G35" s="96"/>
      <c r="H35" s="96"/>
    </row>
    <row r="36" spans="1:8" ht="14.25">
      <c r="A36" s="96"/>
      <c r="B36" s="96"/>
      <c r="C36" s="96"/>
      <c r="D36" s="96">
        <f>EXP(D35)</f>
        <v>2.316427295762517</v>
      </c>
      <c r="E36" s="68" t="s">
        <v>114</v>
      </c>
      <c r="F36" s="96"/>
      <c r="G36" s="96"/>
      <c r="H36" s="96"/>
    </row>
    <row r="37" spans="1:8" ht="15">
      <c r="A37" s="96"/>
      <c r="B37" s="96"/>
      <c r="C37" s="96"/>
      <c r="D37" s="99">
        <f>D36/(1+D36)</f>
        <v>0.6984707002991667</v>
      </c>
      <c r="E37" s="68" t="s">
        <v>115</v>
      </c>
      <c r="F37" s="96"/>
      <c r="G37" s="96"/>
      <c r="H37" s="96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2" shapeId="2977194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4.7109375" style="50" customWidth="1"/>
    <col min="2" max="2" width="10.7109375" style="50" customWidth="1"/>
    <col min="3" max="3" width="6.57421875" style="50" customWidth="1"/>
    <col min="4" max="4" width="7.140625" style="50" customWidth="1"/>
    <col min="5" max="5" width="2.7109375" style="50" customWidth="1"/>
    <col min="6" max="6" width="9.140625" style="50" customWidth="1"/>
    <col min="7" max="7" width="5.421875" style="50" customWidth="1"/>
    <col min="8" max="8" width="12.140625" style="50" customWidth="1"/>
    <col min="9" max="16384" width="9.140625" style="50" customWidth="1"/>
  </cols>
  <sheetData>
    <row r="1" spans="1:10" ht="12.75">
      <c r="A1" s="49" t="s">
        <v>56</v>
      </c>
      <c r="D1" s="51"/>
      <c r="E1" s="51"/>
      <c r="F1" s="51"/>
      <c r="G1" s="52" t="s">
        <v>57</v>
      </c>
      <c r="H1" s="51"/>
      <c r="I1" s="51"/>
      <c r="J1" s="53" t="s">
        <v>58</v>
      </c>
    </row>
    <row r="2" spans="3:10" ht="15.75">
      <c r="C2" s="54" t="s">
        <v>59</v>
      </c>
      <c r="D2" s="55">
        <v>25</v>
      </c>
      <c r="E2" s="56"/>
      <c r="F2" s="54" t="s">
        <v>60</v>
      </c>
      <c r="G2" s="55">
        <v>30</v>
      </c>
      <c r="H2" s="54" t="s">
        <v>61</v>
      </c>
      <c r="I2" s="55">
        <v>30</v>
      </c>
      <c r="J2" s="57">
        <f>C28/C27</f>
        <v>0.6913847391108551</v>
      </c>
    </row>
    <row r="3" spans="2:5" ht="12.75">
      <c r="B3" s="58" t="s">
        <v>62</v>
      </c>
      <c r="C3" s="59">
        <v>0.1</v>
      </c>
      <c r="E3" s="56"/>
    </row>
    <row r="5" ht="15.75">
      <c r="B5" s="60" t="s">
        <v>63</v>
      </c>
    </row>
    <row r="7" spans="1:8" ht="12.75">
      <c r="A7" s="50" t="s">
        <v>30</v>
      </c>
      <c r="B7" s="61" t="s">
        <v>64</v>
      </c>
      <c r="C7" s="50" t="s">
        <v>65</v>
      </c>
      <c r="D7" s="50" t="s">
        <v>66</v>
      </c>
      <c r="E7" s="50" t="s">
        <v>67</v>
      </c>
      <c r="F7" s="50" t="s">
        <v>68</v>
      </c>
      <c r="G7" s="50" t="s">
        <v>69</v>
      </c>
      <c r="H7" s="58" t="s">
        <v>70</v>
      </c>
    </row>
    <row r="8" spans="1:9" ht="12.75">
      <c r="A8" s="50">
        <v>0</v>
      </c>
      <c r="B8" s="61">
        <f aca="true" ca="1" t="shared" si="0" ref="B8:B18">H8+NORMINV(RAND(),0,SQRT($I$2))</f>
        <v>36.85166772504782</v>
      </c>
      <c r="C8" s="50">
        <f>$C$20+$C$21*A8</f>
        <v>36.47097689327866</v>
      </c>
      <c r="D8" s="50">
        <f>C8-t*SQRT(MSE*(1/n+(A8-avg)^2/ssx))</f>
        <v>31.741191766303587</v>
      </c>
      <c r="E8" s="50">
        <f>$C8+t*SQRT(MSE*(1/n+($A8-avg)^2/ssx))</f>
        <v>41.200762020253734</v>
      </c>
      <c r="F8" s="50">
        <f>C8-t*SQRT(MSE*(1+1/n+(A8-avg)^2/ssx))</f>
        <v>26.84396761822871</v>
      </c>
      <c r="G8" s="50">
        <f>$C8+t*SQRT(MSE*(1+1/n+($A8-avg)^2/ssx))</f>
        <v>46.09798616832861</v>
      </c>
      <c r="H8" s="50">
        <f aca="true" t="shared" si="1" ref="H8:H18">$G$2+$D$2*A8</f>
        <v>30</v>
      </c>
      <c r="I8" s="50">
        <f>(B8-C8)^2</f>
        <v>0.14492550939309334</v>
      </c>
    </row>
    <row r="9" spans="1:9" ht="12.75">
      <c r="A9" s="50">
        <f aca="true" t="shared" si="2" ref="A9:A18">A8+$C$3</f>
        <v>0.1</v>
      </c>
      <c r="B9" s="61">
        <f ca="1" t="shared" si="0"/>
        <v>33.83719005070992</v>
      </c>
      <c r="C9" s="50">
        <f aca="true" t="shared" si="3" ref="C9:C18">$C$20+$C$21*A9</f>
        <v>38.05790431720329</v>
      </c>
      <c r="D9" s="50">
        <f aca="true" t="shared" si="4" ref="D9:D18">C9-t*SQRT(MSE*(1/n+(A9-avg)^2/ssx))</f>
        <v>33.981342211593706</v>
      </c>
      <c r="E9" s="50">
        <f aca="true" t="shared" si="5" ref="E9:E18">C9+t*SQRT(MSE*(1/n+(A9-avg)^2/ssx))</f>
        <v>42.13446642281287</v>
      </c>
      <c r="F9" s="50">
        <f aca="true" t="shared" si="6" ref="F9:F18">C9-t*SQRT(MSE*(1+1/n+(A9-avg)^2/ssx))</f>
        <v>28.734450084171677</v>
      </c>
      <c r="G9" s="50">
        <f aca="true" t="shared" si="7" ref="G9:G18">$C9+t*SQRT(MSE*(1+1/n+($A9-avg)^2/ssx))</f>
        <v>47.3813585502349</v>
      </c>
      <c r="H9" s="50">
        <f t="shared" si="1"/>
        <v>32.5</v>
      </c>
      <c r="I9" s="50">
        <f aca="true" t="shared" si="8" ref="I9:I18">(B9-C9)^2</f>
        <v>17.814428919380642</v>
      </c>
    </row>
    <row r="10" spans="1:9" ht="12.75">
      <c r="A10" s="50">
        <f t="shared" si="2"/>
        <v>0.2</v>
      </c>
      <c r="B10" s="61">
        <f ca="1" t="shared" si="0"/>
        <v>38.707794211222385</v>
      </c>
      <c r="C10" s="50">
        <f t="shared" si="3"/>
        <v>39.64483174112791</v>
      </c>
      <c r="D10" s="50">
        <f t="shared" si="4"/>
        <v>36.15998093637011</v>
      </c>
      <c r="E10" s="50">
        <f t="shared" si="5"/>
        <v>43.12968254588571</v>
      </c>
      <c r="F10" s="50">
        <f t="shared" si="6"/>
        <v>30.564488941103</v>
      </c>
      <c r="G10" s="50">
        <f t="shared" si="7"/>
        <v>48.72517454115282</v>
      </c>
      <c r="H10" s="50">
        <f t="shared" si="1"/>
        <v>35</v>
      </c>
      <c r="I10" s="50">
        <f t="shared" si="8"/>
        <v>0.8780393324514458</v>
      </c>
    </row>
    <row r="11" spans="1:9" ht="12.75">
      <c r="A11" s="50">
        <f t="shared" si="2"/>
        <v>0.30000000000000004</v>
      </c>
      <c r="B11" s="61">
        <f ca="1" t="shared" si="0"/>
        <v>44.33086562802727</v>
      </c>
      <c r="C11" s="50">
        <f t="shared" si="3"/>
        <v>41.23175916505254</v>
      </c>
      <c r="D11" s="50">
        <f t="shared" si="4"/>
        <v>38.24038039616655</v>
      </c>
      <c r="E11" s="50">
        <f t="shared" si="5"/>
        <v>44.223137933938524</v>
      </c>
      <c r="F11" s="50">
        <f t="shared" si="6"/>
        <v>32.32913106019019</v>
      </c>
      <c r="G11" s="50">
        <f t="shared" si="7"/>
        <v>50.13438726991488</v>
      </c>
      <c r="H11" s="50">
        <f t="shared" si="1"/>
        <v>37.5</v>
      </c>
      <c r="I11" s="50">
        <f t="shared" si="8"/>
        <v>9.60446086885175</v>
      </c>
    </row>
    <row r="12" spans="1:9" ht="12.75">
      <c r="A12" s="50">
        <f t="shared" si="2"/>
        <v>0.4</v>
      </c>
      <c r="B12" s="61">
        <f ca="1" t="shared" si="0"/>
        <v>47.492586591410415</v>
      </c>
      <c r="C12" s="50">
        <f t="shared" si="3"/>
        <v>42.81868658897716</v>
      </c>
      <c r="D12" s="50">
        <f t="shared" si="4"/>
        <v>40.16711271230423</v>
      </c>
      <c r="E12" s="50">
        <f t="shared" si="5"/>
        <v>45.470260465650085</v>
      </c>
      <c r="F12" s="50">
        <f t="shared" si="6"/>
        <v>34.024410936144946</v>
      </c>
      <c r="G12" s="50">
        <f t="shared" si="7"/>
        <v>51.61296224180937</v>
      </c>
      <c r="H12" s="50">
        <f t="shared" si="1"/>
        <v>40</v>
      </c>
      <c r="I12" s="50">
        <f t="shared" si="8"/>
        <v>21.8453412327456</v>
      </c>
    </row>
    <row r="13" spans="1:9" ht="12.75">
      <c r="A13" s="50">
        <f t="shared" si="2"/>
        <v>0.5</v>
      </c>
      <c r="B13" s="61">
        <f ca="1" t="shared" si="0"/>
        <v>40.28015919961721</v>
      </c>
      <c r="C13" s="50">
        <f t="shared" si="3"/>
        <v>44.405614012901786</v>
      </c>
      <c r="D13" s="50">
        <f t="shared" si="4"/>
        <v>41.87743751887324</v>
      </c>
      <c r="E13" s="50">
        <f t="shared" si="5"/>
        <v>46.93379050693033</v>
      </c>
      <c r="F13" s="50">
        <f t="shared" si="6"/>
        <v>35.6477537365842</v>
      </c>
      <c r="G13" s="50">
        <f t="shared" si="7"/>
        <v>53.16347428921937</v>
      </c>
      <c r="H13" s="50">
        <f t="shared" si="1"/>
        <v>42.5</v>
      </c>
      <c r="I13" s="50">
        <f t="shared" si="8"/>
        <v>17.019377416452883</v>
      </c>
    </row>
    <row r="14" spans="1:9" ht="12.75">
      <c r="A14" s="50">
        <f t="shared" si="2"/>
        <v>0.6</v>
      </c>
      <c r="B14" s="61">
        <f ca="1" t="shared" si="0"/>
        <v>49.10457952306122</v>
      </c>
      <c r="C14" s="50">
        <f t="shared" si="3"/>
        <v>45.992541436826414</v>
      </c>
      <c r="D14" s="50">
        <f t="shared" si="4"/>
        <v>43.34096756015349</v>
      </c>
      <c r="E14" s="50">
        <f t="shared" si="5"/>
        <v>48.64411531349934</v>
      </c>
      <c r="F14" s="50">
        <f t="shared" si="6"/>
        <v>37.1982657839942</v>
      </c>
      <c r="G14" s="50">
        <f t="shared" si="7"/>
        <v>54.786817089658626</v>
      </c>
      <c r="H14" s="50">
        <f t="shared" si="1"/>
        <v>45</v>
      </c>
      <c r="I14" s="50">
        <f t="shared" si="8"/>
        <v>9.684781050175983</v>
      </c>
    </row>
    <row r="15" spans="1:9" ht="12.75">
      <c r="A15" s="50">
        <f t="shared" si="2"/>
        <v>0.7</v>
      </c>
      <c r="B15" s="61">
        <f ca="1" t="shared" si="0"/>
        <v>45.56366323928511</v>
      </c>
      <c r="C15" s="50">
        <f t="shared" si="3"/>
        <v>47.579468860751035</v>
      </c>
      <c r="D15" s="50">
        <f t="shared" si="4"/>
        <v>44.58809009186505</v>
      </c>
      <c r="E15" s="50">
        <f t="shared" si="5"/>
        <v>50.57084762963702</v>
      </c>
      <c r="F15" s="50">
        <f t="shared" si="6"/>
        <v>38.67684075588869</v>
      </c>
      <c r="G15" s="50">
        <f t="shared" si="7"/>
        <v>56.48209696561338</v>
      </c>
      <c r="H15" s="50">
        <f t="shared" si="1"/>
        <v>47.5</v>
      </c>
      <c r="I15" s="50">
        <f t="shared" si="8"/>
        <v>4.063472303533614</v>
      </c>
    </row>
    <row r="16" spans="1:9" ht="12.75">
      <c r="A16" s="50">
        <f t="shared" si="2"/>
        <v>0.7999999999999999</v>
      </c>
      <c r="B16" s="61">
        <f ca="1" t="shared" si="0"/>
        <v>54.23499797446316</v>
      </c>
      <c r="C16" s="50">
        <f t="shared" si="3"/>
        <v>49.16639628467566</v>
      </c>
      <c r="D16" s="50">
        <f t="shared" si="4"/>
        <v>45.681545479917865</v>
      </c>
      <c r="E16" s="50">
        <f t="shared" si="5"/>
        <v>52.65124708943346</v>
      </c>
      <c r="F16" s="50">
        <f t="shared" si="6"/>
        <v>40.086053484650755</v>
      </c>
      <c r="G16" s="50">
        <f t="shared" si="7"/>
        <v>58.24673908470057</v>
      </c>
      <c r="H16" s="50">
        <f t="shared" si="1"/>
        <v>50</v>
      </c>
      <c r="I16" s="50">
        <f t="shared" si="8"/>
        <v>25.69072308971669</v>
      </c>
    </row>
    <row r="17" spans="1:9" ht="12.75">
      <c r="A17" s="50">
        <f t="shared" si="2"/>
        <v>0.8999999999999999</v>
      </c>
      <c r="B17" s="61">
        <f ca="1" t="shared" si="0"/>
        <v>46.78133397947677</v>
      </c>
      <c r="C17" s="50">
        <f t="shared" si="3"/>
        <v>50.75332370860029</v>
      </c>
      <c r="D17" s="50">
        <f t="shared" si="4"/>
        <v>46.67676160299071</v>
      </c>
      <c r="E17" s="50">
        <f t="shared" si="5"/>
        <v>54.829885814209874</v>
      </c>
      <c r="F17" s="50">
        <f t="shared" si="6"/>
        <v>41.42986947556868</v>
      </c>
      <c r="G17" s="50">
        <f t="shared" si="7"/>
        <v>60.0767779416319</v>
      </c>
      <c r="H17" s="50">
        <f t="shared" si="1"/>
        <v>52.5</v>
      </c>
      <c r="I17" s="50">
        <f t="shared" si="8"/>
        <v>15.776702408262745</v>
      </c>
    </row>
    <row r="18" spans="1:9" ht="13.5" thickBot="1">
      <c r="A18" s="50">
        <f t="shared" si="2"/>
        <v>0.9999999999999999</v>
      </c>
      <c r="B18" s="61">
        <f ca="1" t="shared" si="0"/>
        <v>51.27691601959833</v>
      </c>
      <c r="C18" s="50">
        <f t="shared" si="3"/>
        <v>52.34025113252491</v>
      </c>
      <c r="D18" s="50">
        <f t="shared" si="4"/>
        <v>47.61046600554984</v>
      </c>
      <c r="E18" s="50">
        <f t="shared" si="5"/>
        <v>57.070036259499986</v>
      </c>
      <c r="F18" s="50">
        <f t="shared" si="6"/>
        <v>42.71324185747496</v>
      </c>
      <c r="G18" s="50">
        <f t="shared" si="7"/>
        <v>61.96726040757486</v>
      </c>
      <c r="H18" s="50">
        <f t="shared" si="1"/>
        <v>55</v>
      </c>
      <c r="I18" s="62">
        <f t="shared" si="8"/>
        <v>1.1306815623825837</v>
      </c>
    </row>
    <row r="19" spans="9:10" ht="12.75">
      <c r="I19" s="50">
        <f>SUM(I8:I18)</f>
        <v>123.65293369334702</v>
      </c>
      <c r="J19" s="63" t="s">
        <v>71</v>
      </c>
    </row>
    <row r="20" spans="2:3" ht="12.75">
      <c r="B20" s="58" t="s">
        <v>60</v>
      </c>
      <c r="C20" s="50">
        <f>INTERCEPT(B8:B18,A8:A18)</f>
        <v>36.47097689327866</v>
      </c>
    </row>
    <row r="21" spans="2:3" ht="12.75">
      <c r="B21" s="58" t="s">
        <v>72</v>
      </c>
      <c r="C21" s="50">
        <f>SLOPE(B8:B18,A8:A18)</f>
        <v>15.869274239246254</v>
      </c>
    </row>
    <row r="22" spans="2:3" ht="12.75">
      <c r="B22" s="58" t="s">
        <v>73</v>
      </c>
      <c r="C22" s="50">
        <f>STEYX(B8:B18,A8:A18)^2</f>
        <v>13.739214854816339</v>
      </c>
    </row>
    <row r="23" spans="2:3" ht="12.75">
      <c r="B23" s="58" t="s">
        <v>74</v>
      </c>
      <c r="C23" s="59">
        <f>DEVSQ(A8:A18)</f>
        <v>1.0999999999999999</v>
      </c>
    </row>
    <row r="24" spans="2:3" ht="12.75">
      <c r="B24" s="58" t="s">
        <v>75</v>
      </c>
      <c r="C24" s="59">
        <f>AVERAGE(A8:A18)</f>
        <v>0.5</v>
      </c>
    </row>
    <row r="25" spans="2:3" ht="12.75">
      <c r="B25" s="58" t="s">
        <v>76</v>
      </c>
      <c r="C25" s="59">
        <f>COUNT(A8:A18)</f>
        <v>11</v>
      </c>
    </row>
    <row r="26" spans="2:3" ht="12.75">
      <c r="B26" s="58" t="s">
        <v>77</v>
      </c>
      <c r="C26" s="50">
        <f>TINV(0.05,C25-2)</f>
        <v>2.2621571627982053</v>
      </c>
    </row>
    <row r="27" spans="2:3" ht="12.75">
      <c r="B27" s="50" t="s">
        <v>78</v>
      </c>
      <c r="C27" s="50">
        <f>DEVSQ(B8:B18)</f>
        <v>400.67018506179227</v>
      </c>
    </row>
    <row r="28" spans="2:3" ht="12.75">
      <c r="B28" s="50" t="s">
        <v>79</v>
      </c>
      <c r="C28" s="50">
        <f>C27-I19</f>
        <v>277.0172513684453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8:G1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18.421875" style="0" customWidth="1"/>
    <col min="2" max="2" width="11.28125" style="0" customWidth="1"/>
    <col min="3" max="4" width="13.28125" style="0" customWidth="1"/>
    <col min="6" max="7" width="10.00390625" style="0" customWidth="1"/>
    <col min="8" max="8" width="13.8515625" style="0" customWidth="1"/>
    <col min="9" max="9" width="14.00390625" style="0" customWidth="1"/>
    <col min="11" max="11" width="11.8515625" style="0" customWidth="1"/>
  </cols>
  <sheetData>
    <row r="8" spans="1:5" ht="12.75">
      <c r="A8" s="8" t="s">
        <v>52</v>
      </c>
      <c r="E8" s="31" t="s">
        <v>53</v>
      </c>
    </row>
    <row r="9" spans="1:5" ht="12.75">
      <c r="A9" s="48" t="s">
        <v>55</v>
      </c>
      <c r="E9" s="31" t="s">
        <v>54</v>
      </c>
    </row>
    <row r="10" spans="6:7" ht="12.75">
      <c r="F10" s="6"/>
      <c r="G10" s="7"/>
    </row>
    <row r="11" spans="1:5" ht="15.75">
      <c r="A11" s="8" t="s">
        <v>24</v>
      </c>
      <c r="E11" s="9" t="s">
        <v>25</v>
      </c>
    </row>
    <row r="13" ht="15.75">
      <c r="E13" s="5" t="s">
        <v>26</v>
      </c>
    </row>
    <row r="15" ht="15">
      <c r="E15" s="10" t="s">
        <v>27</v>
      </c>
    </row>
    <row r="16" ht="14.25">
      <c r="A16" s="8" t="s">
        <v>28</v>
      </c>
    </row>
    <row r="17" ht="14.25">
      <c r="F17" s="9" t="s">
        <v>29</v>
      </c>
    </row>
  </sheetData>
  <sheetProtection/>
  <printOptions/>
  <pageMargins left="0.7" right="0.7" top="0.75" bottom="0.75" header="0.3" footer="0.3"/>
  <pageSetup orientation="portrait" paperSize="9"/>
  <drawing r:id="rId7"/>
  <legacyDrawing r:id="rId6"/>
  <oleObjects>
    <oleObject progId="Equation.3" shapeId="20939184" r:id="rId1"/>
    <oleObject progId="Equation.3" shapeId="20939185" r:id="rId2"/>
    <oleObject progId="Equation.3" shapeId="20939186" r:id="rId3"/>
    <oleObject progId="Equation.3" shapeId="20939187" r:id="rId4"/>
    <oleObject progId="Equation.3" shapeId="20939188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zoomScalePageLayoutView="0" workbookViewId="0" topLeftCell="A8">
      <selection activeCell="M24" sqref="M24"/>
    </sheetView>
  </sheetViews>
  <sheetFormatPr defaultColWidth="9.140625" defaultRowHeight="12.75"/>
  <cols>
    <col min="1" max="3" width="6.8515625" style="0" customWidth="1"/>
    <col min="4" max="4" width="13.57421875" style="0" customWidth="1"/>
    <col min="5" max="5" width="15.140625" style="0" customWidth="1"/>
    <col min="7" max="7" width="12.00390625" style="0" bestFit="1" customWidth="1"/>
    <col min="8" max="8" width="13.140625" style="0" customWidth="1"/>
    <col min="9" max="11" width="11.28125" style="0" customWidth="1"/>
  </cols>
  <sheetData>
    <row r="1" spans="1:3" ht="12.75">
      <c r="A1" s="11" t="s">
        <v>30</v>
      </c>
      <c r="B1" s="11" t="s">
        <v>31</v>
      </c>
      <c r="C1" s="20" t="s">
        <v>34</v>
      </c>
    </row>
    <row r="2" spans="1:3" ht="12.75">
      <c r="A2" s="11">
        <v>0</v>
      </c>
      <c r="B2" s="11">
        <v>15</v>
      </c>
      <c r="C2" s="20">
        <f>A2-3</f>
        <v>-3</v>
      </c>
    </row>
    <row r="3" spans="1:3" ht="12.75">
      <c r="A3" s="11">
        <v>1</v>
      </c>
      <c r="B3" s="11">
        <v>19</v>
      </c>
      <c r="C3" s="20">
        <f aca="true" t="shared" si="0" ref="C3:C9">A3-3</f>
        <v>-2</v>
      </c>
    </row>
    <row r="4" spans="1:3" ht="12.75">
      <c r="A4" s="11">
        <v>2</v>
      </c>
      <c r="B4" s="11">
        <v>20</v>
      </c>
      <c r="C4" s="20">
        <f t="shared" si="0"/>
        <v>-1</v>
      </c>
    </row>
    <row r="5" spans="1:3" ht="12.75">
      <c r="A5" s="11">
        <v>3</v>
      </c>
      <c r="B5" s="11">
        <v>21</v>
      </c>
      <c r="C5" s="20">
        <f t="shared" si="0"/>
        <v>0</v>
      </c>
    </row>
    <row r="6" spans="1:3" ht="12.75">
      <c r="A6" s="11">
        <v>4</v>
      </c>
      <c r="B6" s="11">
        <v>25</v>
      </c>
      <c r="C6" s="20">
        <f t="shared" si="0"/>
        <v>1</v>
      </c>
    </row>
    <row r="7" spans="1:3" ht="12.75">
      <c r="A7" s="11">
        <v>5</v>
      </c>
      <c r="B7" s="11">
        <v>26</v>
      </c>
      <c r="C7" s="20">
        <f t="shared" si="0"/>
        <v>2</v>
      </c>
    </row>
    <row r="8" spans="1:3" ht="12.75">
      <c r="A8" s="11">
        <v>6</v>
      </c>
      <c r="B8" s="11">
        <v>30</v>
      </c>
      <c r="C8" s="20">
        <f t="shared" si="0"/>
        <v>3</v>
      </c>
    </row>
    <row r="9" spans="1:3" ht="13.5" thickBot="1">
      <c r="A9" s="22">
        <v>7</v>
      </c>
      <c r="B9" s="22">
        <v>32</v>
      </c>
      <c r="C9" s="23">
        <f t="shared" si="0"/>
        <v>4</v>
      </c>
    </row>
    <row r="10" spans="1:4" ht="13.5" thickTop="1">
      <c r="A10" s="25">
        <f>AVERAGE(A2:A9)</f>
        <v>3.5</v>
      </c>
      <c r="B10" s="25">
        <f>AVERAGE(B2:B9)</f>
        <v>23.5</v>
      </c>
      <c r="C10" s="25">
        <f>AVERAGE(C2:C9)</f>
        <v>0.5</v>
      </c>
      <c r="D10" s="25" t="s">
        <v>37</v>
      </c>
    </row>
    <row r="11" spans="3:5" ht="12.75">
      <c r="C11" s="13" t="s">
        <v>0</v>
      </c>
      <c r="E11" s="24" t="s">
        <v>35</v>
      </c>
    </row>
    <row r="12" spans="3:5" ht="15.75" thickBot="1">
      <c r="C12" s="13"/>
      <c r="E12" s="12" t="s">
        <v>32</v>
      </c>
    </row>
    <row r="13" spans="3:5" ht="15">
      <c r="C13" s="17" t="s">
        <v>1</v>
      </c>
      <c r="D13" s="15"/>
      <c r="E13" s="14" t="s">
        <v>33</v>
      </c>
    </row>
    <row r="14" spans="3:6" ht="15">
      <c r="C14" s="18" t="s">
        <v>2</v>
      </c>
      <c r="D14" s="3">
        <v>0.9885383033590439</v>
      </c>
      <c r="E14" s="27">
        <f>D27+D28*3</f>
        <v>22.333333333333332</v>
      </c>
      <c r="F14" s="28" t="s">
        <v>36</v>
      </c>
    </row>
    <row r="15" spans="3:10" ht="12.75">
      <c r="C15" s="18" t="s">
        <v>3</v>
      </c>
      <c r="D15" s="3">
        <v>0.9772079772079771</v>
      </c>
      <c r="E15" s="29">
        <f>SQRT($E$28^2*(3-$A$10)^2+$F$23/$D$18)</f>
        <v>0.3411775438127726</v>
      </c>
      <c r="F15" s="30" t="s">
        <v>38</v>
      </c>
      <c r="I15" s="31">
        <f>SQRT($E$28^2*(3-$A$10)^2+$F$23/$D$18+F23)</f>
        <v>1.0026420125303972</v>
      </c>
      <c r="J15" s="32" t="s">
        <v>43</v>
      </c>
    </row>
    <row r="16" spans="3:10" ht="12.75">
      <c r="C16" s="18" t="s">
        <v>4</v>
      </c>
      <c r="D16" s="3">
        <v>0.97340930674264</v>
      </c>
      <c r="E16">
        <f>TINV(0.1,6)</f>
        <v>1.9431802805153031</v>
      </c>
      <c r="F16" s="26" t="s">
        <v>39</v>
      </c>
      <c r="I16">
        <f>TINV(0.1,6)</f>
        <v>1.9431802805153031</v>
      </c>
      <c r="J16" s="26" t="s">
        <v>39</v>
      </c>
    </row>
    <row r="17" spans="3:10" ht="12.75">
      <c r="C17" s="18" t="s">
        <v>5</v>
      </c>
      <c r="D17" s="3">
        <v>0.9428090415820632</v>
      </c>
      <c r="E17" s="29">
        <f>E16*E15</f>
        <v>0.6629694752916255</v>
      </c>
      <c r="F17" s="30" t="s">
        <v>40</v>
      </c>
      <c r="I17" s="31">
        <f>I16*I15</f>
        <v>1.9483141871652452</v>
      </c>
      <c r="J17" s="32" t="s">
        <v>40</v>
      </c>
    </row>
    <row r="18" spans="3:10" ht="13.5" thickBot="1">
      <c r="C18" s="19" t="s">
        <v>6</v>
      </c>
      <c r="D18" s="4">
        <v>8</v>
      </c>
      <c r="E18" s="29">
        <f>$E$14+E17</f>
        <v>22.996302808624957</v>
      </c>
      <c r="F18" s="30" t="s">
        <v>41</v>
      </c>
      <c r="I18" s="31">
        <f>$E$14+I17</f>
        <v>24.281647520498577</v>
      </c>
      <c r="J18" s="32" t="s">
        <v>41</v>
      </c>
    </row>
    <row r="19" spans="3:10" ht="12.75">
      <c r="C19" s="13"/>
      <c r="E19" s="29">
        <f>$E$14-E17</f>
        <v>21.670363858041707</v>
      </c>
      <c r="F19" s="30" t="s">
        <v>42</v>
      </c>
      <c r="I19" s="31">
        <f>$E$14-I17</f>
        <v>20.385019146168087</v>
      </c>
      <c r="J19" s="32" t="s">
        <v>42</v>
      </c>
    </row>
    <row r="20" spans="3:9" ht="13.5" thickBot="1">
      <c r="C20" s="13" t="s">
        <v>7</v>
      </c>
      <c r="E20" s="29" t="s">
        <v>44</v>
      </c>
      <c r="I20" s="31" t="s">
        <v>45</v>
      </c>
    </row>
    <row r="21" spans="3:8" ht="15">
      <c r="C21" s="17"/>
      <c r="D21" s="16" t="s">
        <v>8</v>
      </c>
      <c r="E21" s="16" t="s">
        <v>9</v>
      </c>
      <c r="F21" s="16" t="s">
        <v>10</v>
      </c>
      <c r="G21" s="16" t="s">
        <v>11</v>
      </c>
      <c r="H21" s="16" t="s">
        <v>12</v>
      </c>
    </row>
    <row r="22" spans="3:8" ht="12.75">
      <c r="C22" s="18" t="s">
        <v>13</v>
      </c>
      <c r="D22" s="3">
        <v>1</v>
      </c>
      <c r="E22" s="1">
        <v>228.66666666666666</v>
      </c>
      <c r="F22" s="1">
        <v>228.66666666666666</v>
      </c>
      <c r="G22" s="1">
        <v>257.25000000000006</v>
      </c>
      <c r="H22" s="1">
        <v>3.7320367993056406E-06</v>
      </c>
    </row>
    <row r="23" spans="3:8" ht="12.75">
      <c r="C23" s="18" t="s">
        <v>14</v>
      </c>
      <c r="D23" s="3">
        <v>6</v>
      </c>
      <c r="E23" s="1">
        <v>5.333333333333332</v>
      </c>
      <c r="F23" s="1">
        <v>0.8888888888888887</v>
      </c>
      <c r="G23" s="1"/>
      <c r="H23" s="1"/>
    </row>
    <row r="24" spans="3:8" ht="13.5" thickBot="1">
      <c r="C24" s="19" t="s">
        <v>15</v>
      </c>
      <c r="D24" s="4">
        <v>7</v>
      </c>
      <c r="E24" s="2">
        <v>234</v>
      </c>
      <c r="F24" s="2"/>
      <c r="G24" s="2"/>
      <c r="H24" s="2"/>
    </row>
    <row r="25" ht="13.5" thickBot="1">
      <c r="C25" s="13"/>
    </row>
    <row r="26" spans="3:11" ht="15">
      <c r="C26" s="17"/>
      <c r="D26" s="16" t="s">
        <v>16</v>
      </c>
      <c r="E26" s="16" t="s">
        <v>5</v>
      </c>
      <c r="F26" s="16" t="s">
        <v>17</v>
      </c>
      <c r="G26" s="16" t="s">
        <v>18</v>
      </c>
      <c r="H26" s="16" t="s">
        <v>19</v>
      </c>
      <c r="I26" s="16" t="s">
        <v>20</v>
      </c>
      <c r="J26" s="16" t="s">
        <v>21</v>
      </c>
      <c r="K26" s="16" t="s">
        <v>22</v>
      </c>
    </row>
    <row r="27" spans="3:11" ht="12.75">
      <c r="C27" s="18" t="s">
        <v>23</v>
      </c>
      <c r="D27" s="1">
        <v>15.333333333333332</v>
      </c>
      <c r="E27" s="1">
        <v>0.6085806194501845</v>
      </c>
      <c r="F27" s="1">
        <v>25.195237645237643</v>
      </c>
      <c r="G27" s="1">
        <v>2.574347060131507E-07</v>
      </c>
      <c r="H27" s="1">
        <v>13.84419020322353</v>
      </c>
      <c r="I27" s="1">
        <v>16.822476463443135</v>
      </c>
      <c r="J27" s="1">
        <v>14.150751474513946</v>
      </c>
      <c r="K27" s="1">
        <v>16.51591519215272</v>
      </c>
    </row>
    <row r="28" spans="3:11" ht="15.75" thickBot="1">
      <c r="C28" s="19" t="s">
        <v>30</v>
      </c>
      <c r="D28" s="2">
        <v>2.3333333333333335</v>
      </c>
      <c r="E28" s="2">
        <v>0.14547859349066158</v>
      </c>
      <c r="F28" s="2">
        <v>16.03901493234544</v>
      </c>
      <c r="G28" s="21">
        <v>3.7320367993056406E-06</v>
      </c>
      <c r="H28" s="2">
        <v>1.9773600388331323</v>
      </c>
      <c r="I28" s="2">
        <v>2.6893066278335347</v>
      </c>
      <c r="J28" s="2">
        <v>2.050642199225178</v>
      </c>
      <c r="K28" s="2">
        <v>2.616024467441489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="90" zoomScaleNormal="90" zoomScalePageLayoutView="0" workbookViewId="0" topLeftCell="A3">
      <selection activeCell="J22" sqref="J22"/>
    </sheetView>
  </sheetViews>
  <sheetFormatPr defaultColWidth="9.140625" defaultRowHeight="12.75"/>
  <cols>
    <col min="1" max="3" width="6.8515625" style="0" customWidth="1"/>
    <col min="4" max="4" width="13.57421875" style="0" customWidth="1"/>
    <col min="5" max="5" width="15.140625" style="0" customWidth="1"/>
    <col min="7" max="7" width="12.00390625" style="0" bestFit="1" customWidth="1"/>
    <col min="8" max="11" width="12.8515625" style="0" customWidth="1"/>
  </cols>
  <sheetData>
    <row r="1" spans="1:3" ht="12.75">
      <c r="A1" s="11" t="s">
        <v>30</v>
      </c>
      <c r="B1" s="11" t="s">
        <v>31</v>
      </c>
      <c r="C1" s="37" t="s">
        <v>34</v>
      </c>
    </row>
    <row r="2" spans="1:3" ht="12.75">
      <c r="A2" s="11">
        <v>0</v>
      </c>
      <c r="B2" s="11">
        <v>15</v>
      </c>
      <c r="C2" s="37">
        <f>A2-3</f>
        <v>-3</v>
      </c>
    </row>
    <row r="3" spans="1:3" ht="12.75">
      <c r="A3" s="11">
        <v>1</v>
      </c>
      <c r="B3" s="11">
        <v>19</v>
      </c>
      <c r="C3" s="37">
        <f aca="true" t="shared" si="0" ref="C3:C9">A3-3</f>
        <v>-2</v>
      </c>
    </row>
    <row r="4" spans="1:3" ht="12.75">
      <c r="A4" s="11">
        <v>2</v>
      </c>
      <c r="B4" s="11">
        <v>20</v>
      </c>
      <c r="C4" s="37">
        <f t="shared" si="0"/>
        <v>-1</v>
      </c>
    </row>
    <row r="5" spans="1:3" ht="12.75">
      <c r="A5" s="11">
        <v>3</v>
      </c>
      <c r="B5" s="11">
        <v>21</v>
      </c>
      <c r="C5" s="37">
        <f t="shared" si="0"/>
        <v>0</v>
      </c>
    </row>
    <row r="6" spans="1:3" ht="12.75">
      <c r="A6" s="11">
        <v>4</v>
      </c>
      <c r="B6" s="11">
        <v>25</v>
      </c>
      <c r="C6" s="37">
        <f t="shared" si="0"/>
        <v>1</v>
      </c>
    </row>
    <row r="7" spans="1:3" ht="12.75">
      <c r="A7" s="11">
        <v>5</v>
      </c>
      <c r="B7" s="11">
        <v>26</v>
      </c>
      <c r="C7" s="37">
        <f t="shared" si="0"/>
        <v>2</v>
      </c>
    </row>
    <row r="8" spans="1:3" ht="12.75">
      <c r="A8" s="11">
        <v>6</v>
      </c>
      <c r="B8" s="11">
        <v>30</v>
      </c>
      <c r="C8" s="37">
        <f t="shared" si="0"/>
        <v>3</v>
      </c>
    </row>
    <row r="9" spans="1:3" ht="13.5" thickBot="1">
      <c r="A9" s="22">
        <v>7</v>
      </c>
      <c r="B9" s="22">
        <v>32</v>
      </c>
      <c r="C9" s="38">
        <f t="shared" si="0"/>
        <v>4</v>
      </c>
    </row>
    <row r="10" spans="1:4" ht="13.5" thickTop="1">
      <c r="A10" s="25">
        <f>AVERAGE(A2:A9)</f>
        <v>3.5</v>
      </c>
      <c r="B10" s="25">
        <f>AVERAGE(B2:B9)</f>
        <v>23.5</v>
      </c>
      <c r="C10" s="25">
        <f>AVERAGE(C2:C9)</f>
        <v>0.5</v>
      </c>
      <c r="D10" s="25" t="s">
        <v>37</v>
      </c>
    </row>
    <row r="11" spans="2:5" ht="12.75">
      <c r="B11" s="33"/>
      <c r="C11" s="34"/>
      <c r="D11" s="33"/>
      <c r="E11" s="27" t="s">
        <v>35</v>
      </c>
    </row>
    <row r="12" spans="2:5" ht="15">
      <c r="B12" s="33"/>
      <c r="C12" s="34"/>
      <c r="D12" s="33"/>
      <c r="E12" s="46" t="s">
        <v>32</v>
      </c>
    </row>
    <row r="13" spans="2:5" ht="15">
      <c r="B13" s="33"/>
      <c r="C13" s="35"/>
      <c r="D13" s="36"/>
      <c r="E13" s="47" t="s">
        <v>33</v>
      </c>
    </row>
    <row r="14" ht="12.75">
      <c r="C14" t="s">
        <v>0</v>
      </c>
    </row>
    <row r="15" spans="5:6" ht="13.5" thickBot="1">
      <c r="E15" s="29">
        <f>E30</f>
        <v>0.34117754381277254</v>
      </c>
      <c r="F15" s="30" t="s">
        <v>38</v>
      </c>
    </row>
    <row r="16" spans="3:6" ht="12.75">
      <c r="C16" s="40" t="s">
        <v>1</v>
      </c>
      <c r="D16" s="40"/>
      <c r="E16" s="29">
        <f>E15^2</f>
        <v>0.11640211640211633</v>
      </c>
      <c r="F16" s="30" t="s">
        <v>49</v>
      </c>
    </row>
    <row r="17" spans="3:6" ht="12.75">
      <c r="C17" s="18" t="s">
        <v>2</v>
      </c>
      <c r="D17" s="3">
        <v>0.9885383033590439</v>
      </c>
      <c r="E17" s="31">
        <f>E16+F26</f>
        <v>1.005291005291005</v>
      </c>
      <c r="F17" s="32" t="s">
        <v>50</v>
      </c>
    </row>
    <row r="18" spans="3:6" ht="12.75">
      <c r="C18" s="18" t="s">
        <v>3</v>
      </c>
      <c r="D18" s="3">
        <v>0.9772079772079771</v>
      </c>
      <c r="E18" s="31">
        <f>SQRT(E17)</f>
        <v>1.002642012530397</v>
      </c>
      <c r="F18" s="32" t="s">
        <v>43</v>
      </c>
    </row>
    <row r="19" spans="3:6" ht="12.75">
      <c r="C19" s="18" t="s">
        <v>4</v>
      </c>
      <c r="D19" s="3">
        <v>0.97340930674264</v>
      </c>
      <c r="E19">
        <f>TINV(0.1,6)</f>
        <v>1.9431802805153031</v>
      </c>
      <c r="F19" s="26" t="s">
        <v>39</v>
      </c>
    </row>
    <row r="20" spans="3:9" ht="12.75">
      <c r="C20" s="18" t="s">
        <v>5</v>
      </c>
      <c r="D20" s="3">
        <v>0.9428090415820631</v>
      </c>
      <c r="E20" s="31">
        <f>E19*E18</f>
        <v>1.948314187165245</v>
      </c>
      <c r="F20" s="32" t="s">
        <v>40</v>
      </c>
      <c r="I20" s="31" t="s">
        <v>51</v>
      </c>
    </row>
    <row r="21" spans="3:9" ht="13.5" thickBot="1">
      <c r="C21" s="19" t="s">
        <v>6</v>
      </c>
      <c r="D21" s="4">
        <v>8</v>
      </c>
      <c r="E21" s="31">
        <f>D30+E20</f>
        <v>24.281647520498577</v>
      </c>
      <c r="F21" s="32" t="s">
        <v>41</v>
      </c>
      <c r="I21" s="31">
        <f>'CI example 1'!I18</f>
        <v>24.281647520498577</v>
      </c>
    </row>
    <row r="22" spans="4:9" ht="12.75">
      <c r="D22" s="11"/>
      <c r="E22" s="31">
        <f>D30-E20</f>
        <v>20.385019146168087</v>
      </c>
      <c r="F22" s="32" t="s">
        <v>42</v>
      </c>
      <c r="I22" s="31">
        <f>'CI example 1'!I19</f>
        <v>20.385019146168087</v>
      </c>
    </row>
    <row r="23" spans="3:4" ht="13.5" thickBot="1">
      <c r="C23" t="s">
        <v>7</v>
      </c>
      <c r="D23" s="11"/>
    </row>
    <row r="24" spans="3:8" ht="12.75">
      <c r="C24" s="39"/>
      <c r="D24" s="39" t="s">
        <v>8</v>
      </c>
      <c r="E24" s="39" t="s">
        <v>9</v>
      </c>
      <c r="F24" s="39" t="s">
        <v>10</v>
      </c>
      <c r="G24" s="39" t="s">
        <v>11</v>
      </c>
      <c r="H24" s="39" t="s">
        <v>12</v>
      </c>
    </row>
    <row r="25" spans="3:8" ht="12.75">
      <c r="C25" s="18" t="s">
        <v>13</v>
      </c>
      <c r="D25" s="3">
        <v>1</v>
      </c>
      <c r="E25" s="3">
        <v>228.66666666666666</v>
      </c>
      <c r="F25" s="3">
        <v>228.66666666666666</v>
      </c>
      <c r="G25" s="3">
        <v>257.2500000000001</v>
      </c>
      <c r="H25" s="3">
        <v>3.73203679901177E-06</v>
      </c>
    </row>
    <row r="26" spans="3:10" ht="12.75">
      <c r="C26" s="18" t="s">
        <v>14</v>
      </c>
      <c r="D26" s="3">
        <v>6</v>
      </c>
      <c r="E26" s="3">
        <v>5.333333333333331</v>
      </c>
      <c r="F26" s="3">
        <v>0.8888888888888885</v>
      </c>
      <c r="G26" s="3"/>
      <c r="H26" s="3"/>
      <c r="J26" s="29" t="s">
        <v>48</v>
      </c>
    </row>
    <row r="27" spans="3:11" ht="13.5" thickBot="1">
      <c r="C27" s="19" t="s">
        <v>15</v>
      </c>
      <c r="D27" s="4">
        <v>7</v>
      </c>
      <c r="E27" s="4">
        <v>234</v>
      </c>
      <c r="F27" s="4"/>
      <c r="G27" s="4"/>
      <c r="H27" s="4"/>
      <c r="J27" s="29">
        <f>'CI example 1'!E19</f>
        <v>21.670363858041707</v>
      </c>
      <c r="K27" s="29">
        <f>'CI example 1'!E18</f>
        <v>22.996302808624957</v>
      </c>
    </row>
    <row r="28" spans="5:9" ht="15.75" thickBot="1">
      <c r="E28" s="42" t="s">
        <v>46</v>
      </c>
      <c r="I28" s="29" t="s">
        <v>47</v>
      </c>
    </row>
    <row r="29" spans="3:11" ht="12.75">
      <c r="C29" s="39"/>
      <c r="D29" s="39" t="s">
        <v>16</v>
      </c>
      <c r="E29" s="39" t="s">
        <v>5</v>
      </c>
      <c r="F29" s="39" t="s">
        <v>17</v>
      </c>
      <c r="G29" s="39" t="s">
        <v>18</v>
      </c>
      <c r="H29" s="39" t="s">
        <v>19</v>
      </c>
      <c r="I29" s="39" t="s">
        <v>20</v>
      </c>
      <c r="J29" s="43" t="s">
        <v>21</v>
      </c>
      <c r="K29" s="43" t="s">
        <v>22</v>
      </c>
    </row>
    <row r="30" spans="3:11" ht="12.75">
      <c r="C30" s="18" t="s">
        <v>23</v>
      </c>
      <c r="D30" s="41">
        <v>22.333333333333332</v>
      </c>
      <c r="E30" s="45">
        <v>0.34117754381277254</v>
      </c>
      <c r="F30" s="1">
        <v>65.45956420153244</v>
      </c>
      <c r="G30" s="1">
        <v>8.548105790780676E-10</v>
      </c>
      <c r="H30" s="1">
        <v>21.498501959641054</v>
      </c>
      <c r="I30" s="1">
        <v>23.16816470702561</v>
      </c>
      <c r="J30" s="44">
        <v>21.670363860164965</v>
      </c>
      <c r="K30" s="44">
        <v>22.9963028065017</v>
      </c>
    </row>
    <row r="31" spans="3:11" ht="13.5" thickBot="1">
      <c r="C31" s="2" t="s">
        <v>34</v>
      </c>
      <c r="D31" s="2">
        <v>2.3333333333333326</v>
      </c>
      <c r="E31" s="2">
        <v>0.14547859349066158</v>
      </c>
      <c r="F31" s="2">
        <v>16.039014932345435</v>
      </c>
      <c r="G31" s="2">
        <v>3.732036799011776E-06</v>
      </c>
      <c r="H31" s="2">
        <v>1.9773600395186683</v>
      </c>
      <c r="I31" s="2">
        <v>2.689306627147997</v>
      </c>
      <c r="J31" s="2">
        <v>2.0506422001305378</v>
      </c>
      <c r="K31" s="2">
        <v>2.6160244665361274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74"/>
  <sheetViews>
    <sheetView zoomScale="110" zoomScaleNormal="110" zoomScalePageLayoutView="0" workbookViewId="0" topLeftCell="A1">
      <selection activeCell="K34" sqref="K34"/>
    </sheetView>
  </sheetViews>
  <sheetFormatPr defaultColWidth="9.140625" defaultRowHeight="12.75"/>
  <cols>
    <col min="1" max="1" width="7.28125" style="61" customWidth="1"/>
    <col min="2" max="2" width="7.00390625" style="61" customWidth="1"/>
    <col min="3" max="3" width="6.00390625" style="61" customWidth="1"/>
    <col min="4" max="4" width="6.7109375" style="61" customWidth="1"/>
    <col min="5" max="5" width="9.7109375" style="50" customWidth="1"/>
    <col min="6" max="6" width="10.421875" style="50" customWidth="1"/>
    <col min="7" max="11" width="9.140625" style="50" customWidth="1"/>
    <col min="12" max="12" width="6.140625" style="50" bestFit="1" customWidth="1"/>
    <col min="13" max="13" width="4.7109375" style="50" bestFit="1" customWidth="1"/>
    <col min="14" max="14" width="8.8515625" style="50" bestFit="1" customWidth="1"/>
    <col min="15" max="15" width="5.57421875" style="50" bestFit="1" customWidth="1"/>
    <col min="16" max="16384" width="9.140625" style="50" customWidth="1"/>
  </cols>
  <sheetData>
    <row r="1" spans="12:15" ht="12.75">
      <c r="L1" s="64" t="s">
        <v>80</v>
      </c>
      <c r="M1" s="64" t="s">
        <v>81</v>
      </c>
      <c r="N1" s="64" t="s">
        <v>82</v>
      </c>
      <c r="O1" s="64" t="s">
        <v>83</v>
      </c>
    </row>
    <row r="2" spans="12:15" ht="12.75">
      <c r="L2" s="50">
        <v>101</v>
      </c>
      <c r="M2" s="61">
        <f>(L2-MOD(L2,100))/100</f>
        <v>1</v>
      </c>
      <c r="N2" s="64" t="s">
        <v>83</v>
      </c>
      <c r="O2" s="50">
        <f>IF(N2=$N$2,1,0)</f>
        <v>1</v>
      </c>
    </row>
    <row r="3" spans="1:15" ht="12.75">
      <c r="A3" s="61" t="s">
        <v>84</v>
      </c>
      <c r="B3" s="69"/>
      <c r="L3" s="50">
        <v>102</v>
      </c>
      <c r="M3" s="61">
        <f aca="true" t="shared" si="0" ref="M3:M66">(L3-MOD(L3,100))/100</f>
        <v>1</v>
      </c>
      <c r="N3" s="64" t="s">
        <v>83</v>
      </c>
      <c r="O3" s="50">
        <f aca="true" t="shared" si="1" ref="O3:O66">IF(N3=$N$2,1,0)</f>
        <v>1</v>
      </c>
    </row>
    <row r="4" spans="5:15" ht="12.75">
      <c r="E4" s="70" t="s">
        <v>85</v>
      </c>
      <c r="L4" s="50">
        <v>103</v>
      </c>
      <c r="M4" s="61">
        <f t="shared" si="0"/>
        <v>1</v>
      </c>
      <c r="N4" s="64" t="s">
        <v>83</v>
      </c>
      <c r="O4" s="50">
        <f t="shared" si="1"/>
        <v>1</v>
      </c>
    </row>
    <row r="5" spans="1:15" ht="12.75">
      <c r="A5" s="61" t="s">
        <v>86</v>
      </c>
      <c r="B5" s="61" t="s">
        <v>87</v>
      </c>
      <c r="C5" s="61" t="s">
        <v>83</v>
      </c>
      <c r="D5" s="61" t="s">
        <v>88</v>
      </c>
      <c r="E5" s="71" t="s">
        <v>89</v>
      </c>
      <c r="F5" s="50" t="s">
        <v>90</v>
      </c>
      <c r="L5" s="50">
        <v>104</v>
      </c>
      <c r="M5" s="61">
        <f t="shared" si="0"/>
        <v>1</v>
      </c>
      <c r="N5" s="64" t="s">
        <v>83</v>
      </c>
      <c r="O5" s="50">
        <f t="shared" si="1"/>
        <v>1</v>
      </c>
    </row>
    <row r="6" spans="1:15" ht="12.75">
      <c r="A6" s="61">
        <v>1</v>
      </c>
      <c r="B6" s="72">
        <f aca="true" t="shared" si="2" ref="B6:B12">C6/D6</f>
        <v>0.9</v>
      </c>
      <c r="C6" s="61">
        <v>9</v>
      </c>
      <c r="D6" s="61">
        <v>10</v>
      </c>
      <c r="E6" s="73">
        <f>$E$19+$E$20*A6</f>
        <v>0.951320272572402</v>
      </c>
      <c r="F6" s="50">
        <f>(B6-E6)^2</f>
        <v>0.0026337703769056383</v>
      </c>
      <c r="L6" s="50">
        <v>105</v>
      </c>
      <c r="M6" s="61">
        <f t="shared" si="0"/>
        <v>1</v>
      </c>
      <c r="N6" s="64" t="s">
        <v>83</v>
      </c>
      <c r="O6" s="50">
        <f t="shared" si="1"/>
        <v>1</v>
      </c>
    </row>
    <row r="7" spans="1:15" ht="12.75">
      <c r="A7" s="61">
        <v>5</v>
      </c>
      <c r="B7" s="72">
        <f t="shared" si="2"/>
        <v>0.8</v>
      </c>
      <c r="C7" s="61">
        <v>8</v>
      </c>
      <c r="D7" s="61">
        <v>10</v>
      </c>
      <c r="E7" s="73">
        <f aca="true" t="shared" si="3" ref="E7:E12">$E$19+$E$20*A7</f>
        <v>0.819633730834753</v>
      </c>
      <c r="F7" s="50">
        <f aca="true" t="shared" si="4" ref="F7:F12">(B7-E7)^2</f>
        <v>0.0003854833864915287</v>
      </c>
      <c r="L7" s="50">
        <v>106</v>
      </c>
      <c r="M7" s="61">
        <f t="shared" si="0"/>
        <v>1</v>
      </c>
      <c r="N7" s="64" t="s">
        <v>83</v>
      </c>
      <c r="O7" s="50">
        <f t="shared" si="1"/>
        <v>1</v>
      </c>
    </row>
    <row r="8" spans="1:15" ht="12.75">
      <c r="A8" s="61">
        <v>10</v>
      </c>
      <c r="B8" s="72">
        <f t="shared" si="2"/>
        <v>0.7</v>
      </c>
      <c r="C8" s="61">
        <v>7</v>
      </c>
      <c r="D8" s="61">
        <v>10</v>
      </c>
      <c r="E8" s="73">
        <f t="shared" si="3"/>
        <v>0.6550255536626917</v>
      </c>
      <c r="F8" s="50">
        <f t="shared" si="4"/>
        <v>0.0020227008233474233</v>
      </c>
      <c r="L8" s="50">
        <v>107</v>
      </c>
      <c r="M8" s="61">
        <f t="shared" si="0"/>
        <v>1</v>
      </c>
      <c r="N8" s="64" t="s">
        <v>83</v>
      </c>
      <c r="O8" s="50">
        <f t="shared" si="1"/>
        <v>1</v>
      </c>
    </row>
    <row r="9" spans="1:15" ht="12.75">
      <c r="A9" s="61">
        <v>15</v>
      </c>
      <c r="B9" s="72">
        <f t="shared" si="2"/>
        <v>0.6</v>
      </c>
      <c r="C9" s="61">
        <v>6</v>
      </c>
      <c r="D9" s="61">
        <v>10</v>
      </c>
      <c r="E9" s="73">
        <f t="shared" si="3"/>
        <v>0.49041737649063033</v>
      </c>
      <c r="F9" s="50">
        <f t="shared" si="4"/>
        <v>0.012008351375196253</v>
      </c>
      <c r="L9" s="50">
        <v>108</v>
      </c>
      <c r="M9" s="61">
        <f t="shared" si="0"/>
        <v>1</v>
      </c>
      <c r="N9" s="64" t="s">
        <v>83</v>
      </c>
      <c r="O9" s="50">
        <f t="shared" si="1"/>
        <v>1</v>
      </c>
    </row>
    <row r="10" spans="1:15" ht="12.75">
      <c r="A10" s="61">
        <v>20</v>
      </c>
      <c r="B10" s="72">
        <f t="shared" si="2"/>
        <v>0.3</v>
      </c>
      <c r="C10" s="61">
        <v>3</v>
      </c>
      <c r="D10" s="61">
        <v>10</v>
      </c>
      <c r="E10" s="73">
        <f t="shared" si="3"/>
        <v>0.325809199318569</v>
      </c>
      <c r="F10" s="50">
        <f t="shared" si="4"/>
        <v>0.000666114769465623</v>
      </c>
      <c r="L10" s="50">
        <v>109</v>
      </c>
      <c r="M10" s="61">
        <f t="shared" si="0"/>
        <v>1</v>
      </c>
      <c r="N10" s="64" t="s">
        <v>83</v>
      </c>
      <c r="O10" s="50">
        <f t="shared" si="1"/>
        <v>1</v>
      </c>
    </row>
    <row r="11" spans="1:15" ht="12.75">
      <c r="A11" s="61">
        <v>25</v>
      </c>
      <c r="B11" s="72">
        <f t="shared" si="2"/>
        <v>0.1</v>
      </c>
      <c r="C11" s="61">
        <v>1</v>
      </c>
      <c r="D11" s="61">
        <v>10</v>
      </c>
      <c r="E11" s="73">
        <f t="shared" si="3"/>
        <v>0.16120102214650767</v>
      </c>
      <c r="F11" s="74">
        <f t="shared" si="4"/>
        <v>0.003745565111777321</v>
      </c>
      <c r="L11" s="50">
        <v>110</v>
      </c>
      <c r="M11" s="61">
        <f t="shared" si="0"/>
        <v>1</v>
      </c>
      <c r="N11" s="64" t="s">
        <v>91</v>
      </c>
      <c r="O11" s="50">
        <f t="shared" si="1"/>
        <v>0</v>
      </c>
    </row>
    <row r="12" spans="1:15" ht="13.5" thickBot="1">
      <c r="A12" s="61">
        <v>30</v>
      </c>
      <c r="B12" s="72">
        <f t="shared" si="2"/>
        <v>0</v>
      </c>
      <c r="C12" s="61">
        <v>0</v>
      </c>
      <c r="D12" s="61">
        <v>10</v>
      </c>
      <c r="E12" s="75">
        <f t="shared" si="3"/>
        <v>-0.0034071550255536653</v>
      </c>
      <c r="F12" s="62">
        <f t="shared" si="4"/>
        <v>1.1608705368155598E-05</v>
      </c>
      <c r="L12" s="50">
        <v>501</v>
      </c>
      <c r="M12" s="61">
        <f t="shared" si="0"/>
        <v>5</v>
      </c>
      <c r="N12" s="64" t="s">
        <v>91</v>
      </c>
      <c r="O12" s="50">
        <f t="shared" si="1"/>
        <v>0</v>
      </c>
    </row>
    <row r="13" spans="1:15" ht="12.75">
      <c r="A13" s="65">
        <v>35</v>
      </c>
      <c r="E13" s="76">
        <f>0.9212-0.0306*A13</f>
        <v>-0.14979999999999993</v>
      </c>
      <c r="F13" s="50">
        <f>SUM(F6:F12)</f>
        <v>0.02147359454855194</v>
      </c>
      <c r="L13" s="50">
        <v>502</v>
      </c>
      <c r="M13" s="61">
        <f t="shared" si="0"/>
        <v>5</v>
      </c>
      <c r="N13" s="64" t="s">
        <v>91</v>
      </c>
      <c r="O13" s="50">
        <f t="shared" si="1"/>
        <v>0</v>
      </c>
    </row>
    <row r="14" spans="12:15" ht="12.75">
      <c r="L14" s="50">
        <v>503</v>
      </c>
      <c r="M14" s="61">
        <f t="shared" si="0"/>
        <v>5</v>
      </c>
      <c r="N14" s="64" t="s">
        <v>83</v>
      </c>
      <c r="O14" s="50">
        <f t="shared" si="1"/>
        <v>1</v>
      </c>
    </row>
    <row r="15" spans="12:15" ht="12.75">
      <c r="L15" s="50">
        <v>504</v>
      </c>
      <c r="M15" s="61">
        <f t="shared" si="0"/>
        <v>5</v>
      </c>
      <c r="N15" s="64" t="s">
        <v>83</v>
      </c>
      <c r="O15" s="50">
        <f t="shared" si="1"/>
        <v>1</v>
      </c>
    </row>
    <row r="16" spans="12:15" ht="12.75">
      <c r="L16" s="50">
        <v>505</v>
      </c>
      <c r="M16" s="61">
        <f t="shared" si="0"/>
        <v>5</v>
      </c>
      <c r="N16" s="64" t="s">
        <v>83</v>
      </c>
      <c r="O16" s="50">
        <f t="shared" si="1"/>
        <v>1</v>
      </c>
    </row>
    <row r="17" spans="5:15" ht="15.75">
      <c r="E17" s="66">
        <f>F13</f>
        <v>0.02147359454855194</v>
      </c>
      <c r="F17" s="67" t="s">
        <v>92</v>
      </c>
      <c r="L17" s="50">
        <v>506</v>
      </c>
      <c r="M17" s="61">
        <f t="shared" si="0"/>
        <v>5</v>
      </c>
      <c r="N17" s="64" t="s">
        <v>83</v>
      </c>
      <c r="O17" s="50">
        <f t="shared" si="1"/>
        <v>1</v>
      </c>
    </row>
    <row r="18" spans="12:15" ht="12.75">
      <c r="L18" s="50">
        <v>507</v>
      </c>
      <c r="M18" s="61">
        <f t="shared" si="0"/>
        <v>5</v>
      </c>
      <c r="N18" s="64" t="s">
        <v>83</v>
      </c>
      <c r="O18" s="50">
        <f t="shared" si="1"/>
        <v>1</v>
      </c>
    </row>
    <row r="19" spans="5:15" ht="12.75">
      <c r="E19" s="71">
        <f>INTERCEPT(B6:B12,A6:A12)</f>
        <v>0.9842419080068143</v>
      </c>
      <c r="F19" s="77" t="s">
        <v>93</v>
      </c>
      <c r="L19" s="50">
        <v>508</v>
      </c>
      <c r="M19" s="61">
        <f t="shared" si="0"/>
        <v>5</v>
      </c>
      <c r="N19" s="64" t="s">
        <v>83</v>
      </c>
      <c r="O19" s="50">
        <f t="shared" si="1"/>
        <v>1</v>
      </c>
    </row>
    <row r="20" spans="5:15" ht="12.75">
      <c r="E20" s="71">
        <f>SLOPE(B6:B12,A6:A12)</f>
        <v>-0.03292163543441227</v>
      </c>
      <c r="F20" s="77" t="s">
        <v>94</v>
      </c>
      <c r="L20" s="50">
        <v>509</v>
      </c>
      <c r="M20" s="61">
        <f t="shared" si="0"/>
        <v>5</v>
      </c>
      <c r="N20" s="64" t="s">
        <v>83</v>
      </c>
      <c r="O20" s="50">
        <f t="shared" si="1"/>
        <v>1</v>
      </c>
    </row>
    <row r="21" spans="12:15" ht="12.75">
      <c r="L21" s="50">
        <v>510</v>
      </c>
      <c r="M21" s="61">
        <f t="shared" si="0"/>
        <v>5</v>
      </c>
      <c r="N21" s="64" t="s">
        <v>83</v>
      </c>
      <c r="O21" s="50">
        <f t="shared" si="1"/>
        <v>1</v>
      </c>
    </row>
    <row r="22" spans="12:15" ht="12.75">
      <c r="L22" s="50">
        <v>1001</v>
      </c>
      <c r="M22" s="61">
        <f t="shared" si="0"/>
        <v>10</v>
      </c>
      <c r="N22" s="64" t="s">
        <v>91</v>
      </c>
      <c r="O22" s="50">
        <f t="shared" si="1"/>
        <v>0</v>
      </c>
    </row>
    <row r="23" spans="12:15" ht="12.75">
      <c r="L23" s="50">
        <v>1002</v>
      </c>
      <c r="M23" s="61">
        <f t="shared" si="0"/>
        <v>10</v>
      </c>
      <c r="N23" s="64" t="s">
        <v>91</v>
      </c>
      <c r="O23" s="50">
        <f t="shared" si="1"/>
        <v>0</v>
      </c>
    </row>
    <row r="24" spans="12:15" ht="12.75">
      <c r="L24" s="50">
        <v>1003</v>
      </c>
      <c r="M24" s="61">
        <f t="shared" si="0"/>
        <v>10</v>
      </c>
      <c r="N24" s="64" t="s">
        <v>91</v>
      </c>
      <c r="O24" s="50">
        <f t="shared" si="1"/>
        <v>0</v>
      </c>
    </row>
    <row r="25" spans="12:15" ht="12.75">
      <c r="L25" s="50">
        <v>1004</v>
      </c>
      <c r="M25" s="61">
        <f t="shared" si="0"/>
        <v>10</v>
      </c>
      <c r="N25" s="64" t="s">
        <v>83</v>
      </c>
      <c r="O25" s="50">
        <f t="shared" si="1"/>
        <v>1</v>
      </c>
    </row>
    <row r="26" spans="12:15" ht="12.75">
      <c r="L26" s="50">
        <v>1005</v>
      </c>
      <c r="M26" s="61">
        <f t="shared" si="0"/>
        <v>10</v>
      </c>
      <c r="N26" s="64" t="s">
        <v>83</v>
      </c>
      <c r="O26" s="50">
        <f t="shared" si="1"/>
        <v>1</v>
      </c>
    </row>
    <row r="27" spans="12:15" ht="12.75">
      <c r="L27" s="50">
        <v>1006</v>
      </c>
      <c r="M27" s="61">
        <f t="shared" si="0"/>
        <v>10</v>
      </c>
      <c r="N27" s="64" t="s">
        <v>83</v>
      </c>
      <c r="O27" s="50">
        <f t="shared" si="1"/>
        <v>1</v>
      </c>
    </row>
    <row r="28" spans="12:15" ht="12.75">
      <c r="L28" s="50">
        <v>1007</v>
      </c>
      <c r="M28" s="61">
        <f t="shared" si="0"/>
        <v>10</v>
      </c>
      <c r="N28" s="64" t="s">
        <v>83</v>
      </c>
      <c r="O28" s="50">
        <f t="shared" si="1"/>
        <v>1</v>
      </c>
    </row>
    <row r="29" spans="12:15" ht="12.75">
      <c r="L29" s="50">
        <v>1008</v>
      </c>
      <c r="M29" s="61">
        <f t="shared" si="0"/>
        <v>10</v>
      </c>
      <c r="N29" s="64" t="s">
        <v>83</v>
      </c>
      <c r="O29" s="50">
        <f t="shared" si="1"/>
        <v>1</v>
      </c>
    </row>
    <row r="30" spans="12:15" ht="12.75">
      <c r="L30" s="50">
        <v>1009</v>
      </c>
      <c r="M30" s="61">
        <f t="shared" si="0"/>
        <v>10</v>
      </c>
      <c r="N30" s="64" t="s">
        <v>83</v>
      </c>
      <c r="O30" s="50">
        <f t="shared" si="1"/>
        <v>1</v>
      </c>
    </row>
    <row r="31" spans="12:15" ht="12.75">
      <c r="L31" s="50">
        <v>1010</v>
      </c>
      <c r="M31" s="61">
        <f t="shared" si="0"/>
        <v>10</v>
      </c>
      <c r="N31" s="64" t="s">
        <v>83</v>
      </c>
      <c r="O31" s="50">
        <f t="shared" si="1"/>
        <v>1</v>
      </c>
    </row>
    <row r="32" spans="12:15" ht="12.75">
      <c r="L32" s="50">
        <v>1501</v>
      </c>
      <c r="M32" s="61">
        <f t="shared" si="0"/>
        <v>15</v>
      </c>
      <c r="N32" s="64" t="s">
        <v>91</v>
      </c>
      <c r="O32" s="50">
        <f t="shared" si="1"/>
        <v>0</v>
      </c>
    </row>
    <row r="33" spans="12:15" ht="12.75">
      <c r="L33" s="50">
        <v>1502</v>
      </c>
      <c r="M33" s="61">
        <f t="shared" si="0"/>
        <v>15</v>
      </c>
      <c r="N33" s="64" t="s">
        <v>91</v>
      </c>
      <c r="O33" s="50">
        <f t="shared" si="1"/>
        <v>0</v>
      </c>
    </row>
    <row r="34" spans="12:15" ht="12.75">
      <c r="L34" s="50">
        <v>1503</v>
      </c>
      <c r="M34" s="61">
        <f t="shared" si="0"/>
        <v>15</v>
      </c>
      <c r="N34" s="64" t="s">
        <v>91</v>
      </c>
      <c r="O34" s="50">
        <f t="shared" si="1"/>
        <v>0</v>
      </c>
    </row>
    <row r="35" spans="12:15" ht="12.75">
      <c r="L35" s="50">
        <v>1504</v>
      </c>
      <c r="M35" s="61">
        <f t="shared" si="0"/>
        <v>15</v>
      </c>
      <c r="N35" s="64" t="s">
        <v>91</v>
      </c>
      <c r="O35" s="50">
        <f t="shared" si="1"/>
        <v>0</v>
      </c>
    </row>
    <row r="36" spans="12:15" ht="12.75">
      <c r="L36" s="50">
        <v>1505</v>
      </c>
      <c r="M36" s="61">
        <f t="shared" si="0"/>
        <v>15</v>
      </c>
      <c r="N36" s="64" t="s">
        <v>83</v>
      </c>
      <c r="O36" s="50">
        <f t="shared" si="1"/>
        <v>1</v>
      </c>
    </row>
    <row r="37" spans="12:15" ht="12.75">
      <c r="L37" s="50">
        <v>1506</v>
      </c>
      <c r="M37" s="61">
        <f t="shared" si="0"/>
        <v>15</v>
      </c>
      <c r="N37" s="64" t="s">
        <v>83</v>
      </c>
      <c r="O37" s="50">
        <f t="shared" si="1"/>
        <v>1</v>
      </c>
    </row>
    <row r="38" spans="12:15" ht="12.75">
      <c r="L38" s="50">
        <v>1507</v>
      </c>
      <c r="M38" s="61">
        <f t="shared" si="0"/>
        <v>15</v>
      </c>
      <c r="N38" s="64" t="s">
        <v>83</v>
      </c>
      <c r="O38" s="50">
        <f t="shared" si="1"/>
        <v>1</v>
      </c>
    </row>
    <row r="39" spans="12:15" ht="12.75">
      <c r="L39" s="50">
        <v>1508</v>
      </c>
      <c r="M39" s="61">
        <f t="shared" si="0"/>
        <v>15</v>
      </c>
      <c r="N39" s="64" t="s">
        <v>83</v>
      </c>
      <c r="O39" s="50">
        <f t="shared" si="1"/>
        <v>1</v>
      </c>
    </row>
    <row r="40" spans="12:15" ht="12.75">
      <c r="L40" s="50">
        <v>1509</v>
      </c>
      <c r="M40" s="61">
        <f t="shared" si="0"/>
        <v>15</v>
      </c>
      <c r="N40" s="64" t="s">
        <v>83</v>
      </c>
      <c r="O40" s="50">
        <f t="shared" si="1"/>
        <v>1</v>
      </c>
    </row>
    <row r="41" spans="12:15" ht="12.75">
      <c r="L41" s="50">
        <v>1510</v>
      </c>
      <c r="M41" s="61">
        <f t="shared" si="0"/>
        <v>15</v>
      </c>
      <c r="N41" s="64" t="s">
        <v>83</v>
      </c>
      <c r="O41" s="50">
        <f t="shared" si="1"/>
        <v>1</v>
      </c>
    </row>
    <row r="42" spans="12:15" ht="12.75">
      <c r="L42" s="50">
        <v>2001</v>
      </c>
      <c r="M42" s="61">
        <f t="shared" si="0"/>
        <v>20</v>
      </c>
      <c r="N42" s="64" t="s">
        <v>91</v>
      </c>
      <c r="O42" s="50">
        <f t="shared" si="1"/>
        <v>0</v>
      </c>
    </row>
    <row r="43" spans="12:15" ht="12.75">
      <c r="L43" s="50">
        <v>2002</v>
      </c>
      <c r="M43" s="61">
        <f t="shared" si="0"/>
        <v>20</v>
      </c>
      <c r="N43" s="64" t="s">
        <v>91</v>
      </c>
      <c r="O43" s="50">
        <f t="shared" si="1"/>
        <v>0</v>
      </c>
    </row>
    <row r="44" spans="12:15" ht="12.75">
      <c r="L44" s="50">
        <v>2003</v>
      </c>
      <c r="M44" s="61">
        <f t="shared" si="0"/>
        <v>20</v>
      </c>
      <c r="N44" s="64" t="s">
        <v>91</v>
      </c>
      <c r="O44" s="50">
        <f t="shared" si="1"/>
        <v>0</v>
      </c>
    </row>
    <row r="45" spans="12:15" ht="12.75">
      <c r="L45" s="50">
        <v>2004</v>
      </c>
      <c r="M45" s="61">
        <f t="shared" si="0"/>
        <v>20</v>
      </c>
      <c r="N45" s="64" t="s">
        <v>91</v>
      </c>
      <c r="O45" s="50">
        <f t="shared" si="1"/>
        <v>0</v>
      </c>
    </row>
    <row r="46" spans="12:15" ht="12.75">
      <c r="L46" s="50">
        <v>2005</v>
      </c>
      <c r="M46" s="61">
        <f t="shared" si="0"/>
        <v>20</v>
      </c>
      <c r="N46" s="64" t="s">
        <v>91</v>
      </c>
      <c r="O46" s="50">
        <f t="shared" si="1"/>
        <v>0</v>
      </c>
    </row>
    <row r="47" spans="12:15" ht="12.75">
      <c r="L47" s="50">
        <v>2006</v>
      </c>
      <c r="M47" s="61">
        <f t="shared" si="0"/>
        <v>20</v>
      </c>
      <c r="N47" s="64" t="s">
        <v>91</v>
      </c>
      <c r="O47" s="50">
        <f t="shared" si="1"/>
        <v>0</v>
      </c>
    </row>
    <row r="48" spans="12:15" ht="12.75">
      <c r="L48" s="50">
        <v>2007</v>
      </c>
      <c r="M48" s="61">
        <f t="shared" si="0"/>
        <v>20</v>
      </c>
      <c r="N48" s="64" t="s">
        <v>91</v>
      </c>
      <c r="O48" s="50">
        <f t="shared" si="1"/>
        <v>0</v>
      </c>
    </row>
    <row r="49" spans="12:15" ht="12.75">
      <c r="L49" s="50">
        <v>2008</v>
      </c>
      <c r="M49" s="61">
        <f t="shared" si="0"/>
        <v>20</v>
      </c>
      <c r="N49" s="64" t="s">
        <v>83</v>
      </c>
      <c r="O49" s="50">
        <f t="shared" si="1"/>
        <v>1</v>
      </c>
    </row>
    <row r="50" spans="12:15" ht="12.75">
      <c r="L50" s="50">
        <v>2009</v>
      </c>
      <c r="M50" s="61">
        <f t="shared" si="0"/>
        <v>20</v>
      </c>
      <c r="N50" s="64" t="s">
        <v>83</v>
      </c>
      <c r="O50" s="50">
        <f t="shared" si="1"/>
        <v>1</v>
      </c>
    </row>
    <row r="51" spans="12:15" ht="12.75">
      <c r="L51" s="50">
        <v>2010</v>
      </c>
      <c r="M51" s="61">
        <f t="shared" si="0"/>
        <v>20</v>
      </c>
      <c r="N51" s="64" t="s">
        <v>83</v>
      </c>
      <c r="O51" s="50">
        <f t="shared" si="1"/>
        <v>1</v>
      </c>
    </row>
    <row r="52" spans="12:15" ht="12.75">
      <c r="L52" s="50">
        <v>2501</v>
      </c>
      <c r="M52" s="61">
        <f t="shared" si="0"/>
        <v>25</v>
      </c>
      <c r="N52" s="64" t="s">
        <v>91</v>
      </c>
      <c r="O52" s="50">
        <f t="shared" si="1"/>
        <v>0</v>
      </c>
    </row>
    <row r="53" spans="12:15" ht="12.75">
      <c r="L53" s="50">
        <v>2502</v>
      </c>
      <c r="M53" s="61">
        <f t="shared" si="0"/>
        <v>25</v>
      </c>
      <c r="N53" s="64" t="s">
        <v>83</v>
      </c>
      <c r="O53" s="50">
        <f t="shared" si="1"/>
        <v>1</v>
      </c>
    </row>
    <row r="54" spans="12:15" ht="12.75">
      <c r="L54" s="50">
        <v>2503</v>
      </c>
      <c r="M54" s="61">
        <f t="shared" si="0"/>
        <v>25</v>
      </c>
      <c r="N54" s="64" t="s">
        <v>91</v>
      </c>
      <c r="O54" s="50">
        <f t="shared" si="1"/>
        <v>0</v>
      </c>
    </row>
    <row r="55" spans="12:15" ht="12.75">
      <c r="L55" s="50">
        <v>2504</v>
      </c>
      <c r="M55" s="61">
        <f t="shared" si="0"/>
        <v>25</v>
      </c>
      <c r="N55" s="64" t="s">
        <v>91</v>
      </c>
      <c r="O55" s="50">
        <f t="shared" si="1"/>
        <v>0</v>
      </c>
    </row>
    <row r="56" spans="12:15" ht="12.75">
      <c r="L56" s="50">
        <v>2505</v>
      </c>
      <c r="M56" s="61">
        <f t="shared" si="0"/>
        <v>25</v>
      </c>
      <c r="N56" s="64" t="s">
        <v>91</v>
      </c>
      <c r="O56" s="50">
        <f t="shared" si="1"/>
        <v>0</v>
      </c>
    </row>
    <row r="57" spans="12:15" ht="12.75">
      <c r="L57" s="50">
        <v>2506</v>
      </c>
      <c r="M57" s="61">
        <f t="shared" si="0"/>
        <v>25</v>
      </c>
      <c r="N57" s="64" t="s">
        <v>91</v>
      </c>
      <c r="O57" s="50">
        <f t="shared" si="1"/>
        <v>0</v>
      </c>
    </row>
    <row r="58" spans="12:15" ht="12.75">
      <c r="L58" s="50">
        <v>2507</v>
      </c>
      <c r="M58" s="61">
        <f t="shared" si="0"/>
        <v>25</v>
      </c>
      <c r="N58" s="64" t="s">
        <v>91</v>
      </c>
      <c r="O58" s="50">
        <f t="shared" si="1"/>
        <v>0</v>
      </c>
    </row>
    <row r="59" spans="12:15" ht="12.75">
      <c r="L59" s="50">
        <v>2508</v>
      </c>
      <c r="M59" s="61">
        <f t="shared" si="0"/>
        <v>25</v>
      </c>
      <c r="N59" s="64" t="s">
        <v>91</v>
      </c>
      <c r="O59" s="50">
        <f t="shared" si="1"/>
        <v>0</v>
      </c>
    </row>
    <row r="60" spans="12:15" ht="12.75">
      <c r="L60" s="50">
        <v>2509</v>
      </c>
      <c r="M60" s="61">
        <f t="shared" si="0"/>
        <v>25</v>
      </c>
      <c r="N60" s="64" t="s">
        <v>91</v>
      </c>
      <c r="O60" s="50">
        <f t="shared" si="1"/>
        <v>0</v>
      </c>
    </row>
    <row r="61" spans="12:15" ht="12.75">
      <c r="L61" s="50">
        <v>2510</v>
      </c>
      <c r="M61" s="61">
        <f t="shared" si="0"/>
        <v>25</v>
      </c>
      <c r="N61" s="64" t="s">
        <v>91</v>
      </c>
      <c r="O61" s="50">
        <f t="shared" si="1"/>
        <v>0</v>
      </c>
    </row>
    <row r="62" spans="12:15" ht="12.75">
      <c r="L62" s="50">
        <v>3001</v>
      </c>
      <c r="M62" s="61">
        <f t="shared" si="0"/>
        <v>30</v>
      </c>
      <c r="N62" s="64" t="s">
        <v>91</v>
      </c>
      <c r="O62" s="50">
        <f t="shared" si="1"/>
        <v>0</v>
      </c>
    </row>
    <row r="63" spans="12:15" ht="12.75">
      <c r="L63" s="50">
        <v>3002</v>
      </c>
      <c r="M63" s="61">
        <f t="shared" si="0"/>
        <v>30</v>
      </c>
      <c r="N63" s="64" t="s">
        <v>91</v>
      </c>
      <c r="O63" s="50">
        <f t="shared" si="1"/>
        <v>0</v>
      </c>
    </row>
    <row r="64" spans="12:15" ht="12.75">
      <c r="L64" s="50">
        <v>3003</v>
      </c>
      <c r="M64" s="61">
        <f t="shared" si="0"/>
        <v>30</v>
      </c>
      <c r="N64" s="64" t="s">
        <v>91</v>
      </c>
      <c r="O64" s="50">
        <f t="shared" si="1"/>
        <v>0</v>
      </c>
    </row>
    <row r="65" spans="12:15" ht="12.75">
      <c r="L65" s="50">
        <v>3004</v>
      </c>
      <c r="M65" s="61">
        <f t="shared" si="0"/>
        <v>30</v>
      </c>
      <c r="N65" s="64" t="s">
        <v>91</v>
      </c>
      <c r="O65" s="50">
        <f t="shared" si="1"/>
        <v>0</v>
      </c>
    </row>
    <row r="66" spans="12:15" ht="12.75">
      <c r="L66" s="50">
        <v>3005</v>
      </c>
      <c r="M66" s="61">
        <f t="shared" si="0"/>
        <v>30</v>
      </c>
      <c r="N66" s="64" t="s">
        <v>91</v>
      </c>
      <c r="O66" s="50">
        <f t="shared" si="1"/>
        <v>0</v>
      </c>
    </row>
    <row r="67" spans="12:15" ht="12.75">
      <c r="L67" s="50">
        <v>3006</v>
      </c>
      <c r="M67" s="61">
        <f>(L67-MOD(L67,100))/100</f>
        <v>30</v>
      </c>
      <c r="N67" s="64" t="s">
        <v>91</v>
      </c>
      <c r="O67" s="50">
        <f>IF(N67=$N$2,1,0)</f>
        <v>0</v>
      </c>
    </row>
    <row r="68" spans="12:15" ht="12.75">
      <c r="L68" s="50">
        <v>3007</v>
      </c>
      <c r="M68" s="61">
        <f>(L68-MOD(L68,100))/100</f>
        <v>30</v>
      </c>
      <c r="N68" s="64" t="s">
        <v>91</v>
      </c>
      <c r="O68" s="50">
        <f>IF(N68=$N$2,1,0)</f>
        <v>0</v>
      </c>
    </row>
    <row r="69" spans="12:15" ht="12.75">
      <c r="L69" s="50">
        <v>3008</v>
      </c>
      <c r="M69" s="61">
        <f>(L69-MOD(L69,100))/100</f>
        <v>30</v>
      </c>
      <c r="N69" s="64" t="s">
        <v>91</v>
      </c>
      <c r="O69" s="50">
        <f>IF(N69=$N$2,1,0)</f>
        <v>0</v>
      </c>
    </row>
    <row r="70" spans="12:15" ht="12.75">
      <c r="L70" s="50">
        <v>3009</v>
      </c>
      <c r="M70" s="61">
        <f>(L70-MOD(L70,100))/100</f>
        <v>30</v>
      </c>
      <c r="N70" s="64" t="s">
        <v>91</v>
      </c>
      <c r="O70" s="50">
        <f>IF(N70=$N$2,1,0)</f>
        <v>0</v>
      </c>
    </row>
    <row r="71" spans="12:15" ht="12.75">
      <c r="L71" s="50">
        <v>3010</v>
      </c>
      <c r="M71" s="61">
        <f>(L71-MOD(L71,100))/100</f>
        <v>30</v>
      </c>
      <c r="N71" s="64" t="s">
        <v>91</v>
      </c>
      <c r="O71" s="50">
        <f>IF(N71=$N$2,1,0)</f>
        <v>0</v>
      </c>
    </row>
    <row r="72" ht="12.75">
      <c r="N72" s="64"/>
    </row>
    <row r="73" ht="12.75">
      <c r="N73" s="64"/>
    </row>
    <row r="74" ht="12.75">
      <c r="N74" s="6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2" width="9.00390625" style="50" customWidth="1"/>
    <col min="3" max="3" width="5.57421875" style="78" customWidth="1"/>
    <col min="4" max="4" width="6.7109375" style="50" customWidth="1"/>
    <col min="5" max="5" width="7.8515625" style="50" customWidth="1"/>
    <col min="6" max="6" width="9.140625" style="50" customWidth="1"/>
    <col min="7" max="7" width="10.00390625" style="50" customWidth="1"/>
    <col min="8" max="16384" width="9.140625" style="50" customWidth="1"/>
  </cols>
  <sheetData>
    <row r="1" spans="1:8" ht="18">
      <c r="A1" s="50" t="s">
        <v>95</v>
      </c>
      <c r="G1" s="79">
        <f>SUM(F10:F16)</f>
        <v>0.01969284490085084</v>
      </c>
      <c r="H1" s="80" t="s">
        <v>96</v>
      </c>
    </row>
    <row r="2" spans="1:7" s="79" customFormat="1" ht="18">
      <c r="A2" s="81" t="s">
        <v>97</v>
      </c>
      <c r="B2" s="81" t="s">
        <v>98</v>
      </c>
      <c r="C2" s="82"/>
      <c r="D2" s="83">
        <v>5</v>
      </c>
      <c r="E2" s="83">
        <v>-0.35</v>
      </c>
      <c r="F2" s="50"/>
      <c r="G2" s="50"/>
    </row>
    <row r="3" spans="1:5" s="79" customFormat="1" ht="18">
      <c r="A3" s="60">
        <v>2.7299672476676697</v>
      </c>
      <c r="B3" s="60">
        <v>-0.17937469041560866</v>
      </c>
      <c r="C3" s="82"/>
      <c r="D3" s="61">
        <v>2.69636004</v>
      </c>
      <c r="E3" s="61">
        <v>-0.1856334</v>
      </c>
    </row>
    <row r="4" ht="12.75">
      <c r="C4" s="50"/>
    </row>
    <row r="5" ht="12.75">
      <c r="C5" s="50"/>
    </row>
    <row r="6" ht="12.75">
      <c r="C6" s="50"/>
    </row>
    <row r="7" ht="12.75">
      <c r="C7" s="50"/>
    </row>
    <row r="8" spans="1:6" ht="12.75">
      <c r="A8" s="61" t="s">
        <v>84</v>
      </c>
      <c r="B8" s="84" t="s">
        <v>99</v>
      </c>
      <c r="C8" s="69" t="s">
        <v>100</v>
      </c>
      <c r="F8" s="50" t="s">
        <v>101</v>
      </c>
    </row>
    <row r="9" spans="1:6" ht="12.75">
      <c r="A9" s="50" t="s">
        <v>86</v>
      </c>
      <c r="B9" s="61" t="s">
        <v>89</v>
      </c>
      <c r="C9" s="50" t="s">
        <v>83</v>
      </c>
      <c r="D9" s="50" t="s">
        <v>83</v>
      </c>
      <c r="E9" s="61" t="s">
        <v>88</v>
      </c>
      <c r="F9" s="50" t="s">
        <v>102</v>
      </c>
    </row>
    <row r="10" spans="1:6" ht="12.75">
      <c r="A10" s="61">
        <v>1</v>
      </c>
      <c r="B10" s="50">
        <f>1/(1+EXP(-$A$3-$B$3*A10))</f>
        <v>0.9276133130772345</v>
      </c>
      <c r="C10" s="78">
        <f aca="true" t="shared" si="0" ref="C10:C16">D10/E10</f>
        <v>0.9</v>
      </c>
      <c r="D10" s="61">
        <f>'Data 1'!C6</f>
        <v>9</v>
      </c>
      <c r="E10" s="61">
        <v>10</v>
      </c>
      <c r="F10" s="50">
        <f aca="true" t="shared" si="1" ref="F10:F16">(B10-C10)^2</f>
        <v>0.0007624950591013682</v>
      </c>
    </row>
    <row r="11" spans="1:6" ht="12.75">
      <c r="A11" s="61">
        <v>5</v>
      </c>
      <c r="B11" s="50">
        <f aca="true" t="shared" si="2" ref="B11:B20">1/(1+EXP(-$A$3-$B$3*A11))</f>
        <v>0.8621298735803162</v>
      </c>
      <c r="C11" s="78">
        <f t="shared" si="0"/>
        <v>0.8</v>
      </c>
      <c r="D11" s="61">
        <f>'Data 1'!C7</f>
        <v>8</v>
      </c>
      <c r="E11" s="61">
        <v>10</v>
      </c>
      <c r="F11" s="50">
        <f t="shared" si="1"/>
        <v>0.0038601211911060713</v>
      </c>
    </row>
    <row r="12" spans="1:6" ht="12.75">
      <c r="A12" s="61">
        <v>10</v>
      </c>
      <c r="B12" s="50">
        <f t="shared" si="2"/>
        <v>0.7183355525565052</v>
      </c>
      <c r="C12" s="78">
        <f t="shared" si="0"/>
        <v>0.7</v>
      </c>
      <c r="D12" s="61">
        <f>'Data 1'!C8</f>
        <v>7</v>
      </c>
      <c r="E12" s="61">
        <v>10</v>
      </c>
      <c r="F12" s="50">
        <f t="shared" si="1"/>
        <v>0.00033619248755236466</v>
      </c>
    </row>
    <row r="13" spans="1:6" ht="12.75">
      <c r="A13" s="61">
        <v>15</v>
      </c>
      <c r="B13" s="50">
        <f t="shared" si="2"/>
        <v>0.509835453971781</v>
      </c>
      <c r="C13" s="78">
        <f t="shared" si="0"/>
        <v>0.6</v>
      </c>
      <c r="D13" s="61">
        <f>'Data 1'!C9</f>
        <v>6</v>
      </c>
      <c r="E13" s="61">
        <v>10</v>
      </c>
      <c r="F13" s="50">
        <f t="shared" si="1"/>
        <v>0.008129645360474821</v>
      </c>
    </row>
    <row r="14" spans="1:6" ht="12.75">
      <c r="A14" s="61">
        <v>20</v>
      </c>
      <c r="B14" s="50">
        <f t="shared" si="2"/>
        <v>0.2978563769314485</v>
      </c>
      <c r="C14" s="78">
        <f t="shared" si="0"/>
        <v>0.3</v>
      </c>
      <c r="D14" s="61">
        <f>'Data 1'!C10</f>
        <v>3</v>
      </c>
      <c r="E14" s="61">
        <v>10</v>
      </c>
      <c r="F14" s="50">
        <f t="shared" si="1"/>
        <v>4.595119860026068E-06</v>
      </c>
    </row>
    <row r="15" spans="1:6" ht="12.75">
      <c r="A15" s="61">
        <v>25</v>
      </c>
      <c r="B15" s="50">
        <f t="shared" si="2"/>
        <v>0.14749308682499923</v>
      </c>
      <c r="C15" s="78">
        <f t="shared" si="0"/>
        <v>0.1</v>
      </c>
      <c r="D15" s="61">
        <f>'Data 1'!C11</f>
        <v>1</v>
      </c>
      <c r="E15" s="61">
        <v>10</v>
      </c>
      <c r="F15" s="50">
        <f t="shared" si="1"/>
        <v>0.002255593296166915</v>
      </c>
    </row>
    <row r="16" spans="1:6" ht="13.5" thickBot="1">
      <c r="A16" s="61">
        <v>30</v>
      </c>
      <c r="B16" s="50">
        <f t="shared" si="2"/>
        <v>0.06591056354325361</v>
      </c>
      <c r="C16" s="78">
        <f t="shared" si="0"/>
        <v>0</v>
      </c>
      <c r="D16" s="61">
        <f>'Data 1'!C12</f>
        <v>0</v>
      </c>
      <c r="E16" s="61">
        <v>10</v>
      </c>
      <c r="F16" s="85">
        <f t="shared" si="1"/>
        <v>0.004344202386589272</v>
      </c>
    </row>
    <row r="17" spans="1:6" ht="13.5" thickTop="1">
      <c r="A17" s="61">
        <v>35</v>
      </c>
      <c r="B17" s="86">
        <f t="shared" si="2"/>
        <v>0.027972915865487353</v>
      </c>
      <c r="F17" s="50">
        <f>SUM(F10:F16)</f>
        <v>0.01969284490085084</v>
      </c>
    </row>
    <row r="18" spans="1:2" ht="12.75">
      <c r="A18" s="61">
        <v>40</v>
      </c>
      <c r="B18" s="86">
        <f t="shared" si="2"/>
        <v>0.01160071095958994</v>
      </c>
    </row>
    <row r="19" spans="1:9" ht="12.75">
      <c r="A19" s="61">
        <v>45</v>
      </c>
      <c r="B19" s="86">
        <f t="shared" si="2"/>
        <v>0.004763992520296433</v>
      </c>
      <c r="H19" s="87" t="s">
        <v>103</v>
      </c>
      <c r="I19" s="87"/>
    </row>
    <row r="20" spans="1:9" ht="12.75">
      <c r="A20" s="61">
        <v>50</v>
      </c>
      <c r="B20" s="86">
        <f t="shared" si="2"/>
        <v>0.0019484567488707895</v>
      </c>
      <c r="H20" s="88">
        <v>2.729957774455218</v>
      </c>
      <c r="I20" s="88">
        <v>-0.17937333202135988</v>
      </c>
    </row>
    <row r="21" ht="12.75">
      <c r="C21" s="50"/>
    </row>
    <row r="22" ht="12.75">
      <c r="C22" s="50"/>
    </row>
    <row r="23" spans="1:5" ht="12.75">
      <c r="A23" s="61"/>
      <c r="C23" s="89"/>
      <c r="D23" s="61"/>
      <c r="E23" s="59"/>
    </row>
    <row r="24" spans="1:5" ht="12.75">
      <c r="A24" s="61"/>
      <c r="C24" s="89"/>
      <c r="D24" s="61"/>
      <c r="E24" s="59"/>
    </row>
    <row r="25" spans="1:5" ht="12.75">
      <c r="A25" s="61"/>
      <c r="C25" s="89"/>
      <c r="D25" s="61"/>
      <c r="E25" s="59"/>
    </row>
    <row r="26" spans="1:5" ht="12.75">
      <c r="A26" s="61"/>
      <c r="C26" s="89"/>
      <c r="D26" s="61"/>
      <c r="E26" s="59"/>
    </row>
    <row r="27" spans="1:5" ht="12.75">
      <c r="A27" s="61"/>
      <c r="C27" s="89"/>
      <c r="D27" s="61"/>
      <c r="E27" s="59"/>
    </row>
    <row r="28" spans="1:5" ht="12.75">
      <c r="A28" s="61"/>
      <c r="C28" s="89"/>
      <c r="D28" s="61"/>
      <c r="E28" s="59"/>
    </row>
  </sheetData>
  <sheetProtection/>
  <mergeCells count="1">
    <mergeCell ref="H19:I19"/>
  </mergeCells>
  <printOptions gridLines="1"/>
  <pageMargins left="0.5" right="0.5" top="1" bottom="1" header="0.5" footer="0.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  <oleObjects>
    <oleObject progId="Equation.2" shapeId="29771934" r:id="rId1"/>
    <oleObject progId="Equation.2" shapeId="2977193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="120" zoomScaleNormal="120" zoomScalePageLayoutView="0" workbookViewId="0" topLeftCell="A1">
      <selection activeCell="K34" sqref="K34"/>
    </sheetView>
  </sheetViews>
  <sheetFormatPr defaultColWidth="9.140625" defaultRowHeight="12.75"/>
  <cols>
    <col min="1" max="1" width="7.57421875" style="50" customWidth="1"/>
    <col min="2" max="2" width="11.8515625" style="50" customWidth="1"/>
    <col min="3" max="3" width="9.28125" style="50" customWidth="1"/>
    <col min="4" max="4" width="5.7109375" style="50" customWidth="1"/>
    <col min="5" max="5" width="7.00390625" style="50" customWidth="1"/>
    <col min="6" max="16384" width="9.140625" style="50" customWidth="1"/>
  </cols>
  <sheetData>
    <row r="1" spans="1:3" ht="12.75">
      <c r="A1" s="50" t="s">
        <v>104</v>
      </c>
      <c r="C1" s="78"/>
    </row>
    <row r="2" ht="12.75">
      <c r="C2" s="50" t="s">
        <v>105</v>
      </c>
    </row>
    <row r="3" spans="1:5" ht="12.75">
      <c r="A3" s="50" t="s">
        <v>86</v>
      </c>
      <c r="B3" s="50" t="s">
        <v>106</v>
      </c>
      <c r="C3" s="50" t="s">
        <v>107</v>
      </c>
      <c r="D3" s="50" t="s">
        <v>83</v>
      </c>
      <c r="E3" s="50" t="s">
        <v>108</v>
      </c>
    </row>
    <row r="4" spans="1:5" ht="12.75">
      <c r="A4" s="61">
        <v>1</v>
      </c>
      <c r="B4" s="50">
        <f aca="true" t="shared" si="0" ref="B4:B10">LN(C4)</f>
        <v>2.1972245773362196</v>
      </c>
      <c r="C4" s="89">
        <f aca="true" t="shared" si="1" ref="C4:C10">D4/E4</f>
        <v>9</v>
      </c>
      <c r="D4" s="61">
        <f>'Data 1'!C6</f>
        <v>9</v>
      </c>
      <c r="E4" s="61">
        <f aca="true" t="shared" si="2" ref="E4:E9">10-D4</f>
        <v>1</v>
      </c>
    </row>
    <row r="5" spans="1:5" ht="12.75">
      <c r="A5" s="61">
        <v>5</v>
      </c>
      <c r="B5" s="50">
        <f t="shared" si="0"/>
        <v>1.3862943611198906</v>
      </c>
      <c r="C5" s="89">
        <f t="shared" si="1"/>
        <v>4</v>
      </c>
      <c r="D5" s="61">
        <f>'Data 1'!C7</f>
        <v>8</v>
      </c>
      <c r="E5" s="61">
        <f t="shared" si="2"/>
        <v>2</v>
      </c>
    </row>
    <row r="6" spans="1:5" ht="12.75">
      <c r="A6" s="61">
        <v>10</v>
      </c>
      <c r="B6" s="50">
        <f t="shared" si="0"/>
        <v>0.8472978603872037</v>
      </c>
      <c r="C6" s="89">
        <f t="shared" si="1"/>
        <v>2.3333333333333335</v>
      </c>
      <c r="D6" s="61">
        <f>'Data 1'!C8</f>
        <v>7</v>
      </c>
      <c r="E6" s="61">
        <f t="shared" si="2"/>
        <v>3</v>
      </c>
    </row>
    <row r="7" spans="1:5" ht="12.75">
      <c r="A7" s="61">
        <v>15</v>
      </c>
      <c r="B7" s="50">
        <f t="shared" si="0"/>
        <v>0.4054651081081644</v>
      </c>
      <c r="C7" s="89">
        <f t="shared" si="1"/>
        <v>1.5</v>
      </c>
      <c r="D7" s="61">
        <f>'Data 1'!C9</f>
        <v>6</v>
      </c>
      <c r="E7" s="61">
        <f t="shared" si="2"/>
        <v>4</v>
      </c>
    </row>
    <row r="8" spans="1:5" ht="12.75">
      <c r="A8" s="61">
        <v>20</v>
      </c>
      <c r="B8" s="50">
        <f t="shared" si="0"/>
        <v>-0.8472978603872037</v>
      </c>
      <c r="C8" s="89">
        <f t="shared" si="1"/>
        <v>0.42857142857142855</v>
      </c>
      <c r="D8" s="61">
        <f>'Data 1'!C10</f>
        <v>3</v>
      </c>
      <c r="E8" s="61">
        <f t="shared" si="2"/>
        <v>7</v>
      </c>
    </row>
    <row r="9" spans="1:5" ht="12.75">
      <c r="A9" s="61">
        <v>25</v>
      </c>
      <c r="B9" s="50">
        <f t="shared" si="0"/>
        <v>-2.1972245773362196</v>
      </c>
      <c r="C9" s="89">
        <f t="shared" si="1"/>
        <v>0.1111111111111111</v>
      </c>
      <c r="D9" s="61">
        <f>'Data 1'!C11</f>
        <v>1</v>
      </c>
      <c r="E9" s="61">
        <f t="shared" si="2"/>
        <v>9</v>
      </c>
    </row>
    <row r="10" spans="1:5" ht="12.75">
      <c r="A10" s="90">
        <v>30</v>
      </c>
      <c r="B10" s="91" t="e">
        <f t="shared" si="0"/>
        <v>#NUM!</v>
      </c>
      <c r="C10" s="92">
        <f t="shared" si="1"/>
        <v>0</v>
      </c>
      <c r="D10" s="90">
        <v>0</v>
      </c>
      <c r="E10" s="90">
        <v>10</v>
      </c>
    </row>
    <row r="11" ht="12.75">
      <c r="C11" s="78"/>
    </row>
    <row r="12" ht="12.75">
      <c r="C12" s="78"/>
    </row>
    <row r="13" ht="12.75">
      <c r="C13" s="78"/>
    </row>
    <row r="14" ht="12.75">
      <c r="C14" s="78"/>
    </row>
    <row r="15" ht="12.75">
      <c r="C15" s="78"/>
    </row>
    <row r="17" spans="2:3" ht="12.75">
      <c r="B17" s="50">
        <f>INTERCEPT(B4:B9,A4:A9)</f>
        <v>2.4710173194130953</v>
      </c>
      <c r="C17" s="93" t="s">
        <v>93</v>
      </c>
    </row>
    <row r="18" spans="2:3" ht="12.75">
      <c r="B18" s="50">
        <f>SLOPE(B4:B9,A4:A9)</f>
        <v>-0.17150453220066472</v>
      </c>
      <c r="C18" s="93" t="s">
        <v>94</v>
      </c>
    </row>
    <row r="19" ht="12.75">
      <c r="C19" s="7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2000-03-02T16:06:55Z</dcterms:created>
  <dcterms:modified xsi:type="dcterms:W3CDTF">2014-12-02T02:43:24Z</dcterms:modified>
  <cp:category/>
  <cp:version/>
  <cp:contentType/>
  <cp:contentStatus/>
</cp:coreProperties>
</file>